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codeName="ThisWorkbook"/>
  <mc:AlternateContent xmlns:mc="http://schemas.openxmlformats.org/markup-compatibility/2006">
    <mc:Choice Requires="x15">
      <x15ac:absPath xmlns:x15ac="http://schemas.microsoft.com/office/spreadsheetml/2010/11/ac" url="C:\Users\LeeanaTaft\CP Interiors Ltd\All Company - General\CLIENT FILES\C\Curwood, Sunshine Villa\SO2302\"/>
    </mc:Choice>
  </mc:AlternateContent>
  <xr:revisionPtr revIDLastSave="3" documentId="11_3CBA35BA9FACC3F9692F1CF181592E4E917489FB" xr6:coauthVersionLast="38" xr6:coauthVersionMax="38" xr10:uidLastSave="{06FA44EB-C565-4F87-86F4-177111D527C7}"/>
  <workbookProtection workbookPassword="F46C" lockStructure="1"/>
  <bookViews>
    <workbookView xWindow="-15" yWindow="45" windowWidth="19230" windowHeight="11220" tabRatio="786" activeTab="3" xr2:uid="{00000000-000D-0000-FFFF-FFFF00000000}"/>
  </bookViews>
  <sheets>
    <sheet name="Purchase Order SCRAFT" sheetId="1" r:id="rId1"/>
    <sheet name="Installation Spec" sheetId="18" r:id="rId2"/>
    <sheet name="Special Shape ID" sheetId="19" r:id="rId3"/>
    <sheet name="EDR" sheetId="3" r:id="rId4"/>
    <sheet name="Pricing and calculations" sheetId="4" state="hidden" r:id="rId5"/>
    <sheet name="Standard Configurations" sheetId="5" state="hidden" r:id="rId6"/>
    <sheet name="Skylight configuration" sheetId="17" state="hidden" r:id="rId7"/>
    <sheet name="Fiji configuration" sheetId="15" state="hidden" r:id="rId8"/>
    <sheet name="Sumatra Panel configuration" sheetId="14" state="hidden" r:id="rId9"/>
    <sheet name="Craftwood Panel configuration" sheetId="10" state="hidden" r:id="rId10"/>
    <sheet name="Craftwood + Panel config " sheetId="13" state="hidden" r:id="rId11"/>
    <sheet name="CoralWood Panel configuration" sheetId="6" state="hidden" r:id="rId12"/>
    <sheet name="Permawood Panel configuration" sheetId="11" state="hidden" r:id="rId13"/>
    <sheet name="Basswood Panel configuration" sheetId="20" state="hidden" r:id="rId14"/>
    <sheet name="Cedarwood Panel configuration" sheetId="21" state="hidden" r:id="rId15"/>
    <sheet name="Larchwood configuration" sheetId="22" state="hidden" r:id="rId16"/>
  </sheets>
  <externalReferences>
    <externalReference r:id="rId17"/>
  </externalReferences>
  <definedNames>
    <definedName name="_xlnm._FilterDatabase" localSheetId="1" hidden="1">'Installation Spec'!$A$5:$AB$77</definedName>
    <definedName name="_xlnm._FilterDatabase" localSheetId="0" hidden="1">'Purchase Order SCRAFT'!$A$5:$AB$77</definedName>
    <definedName name="_rd1">INDIRECT(prefix &amp; "rd1")</definedName>
    <definedName name="AdditionalFrameTab">'Standard Configurations'!$D$2:$E$77</definedName>
    <definedName name="AltDeliverAddr">'Purchase Order SCRAFT'!$P$80</definedName>
    <definedName name="Astragal">INDIRECT(prefix &amp; "StandardAstragal")</definedName>
    <definedName name="b_BattenPriceTab">'Basswood Panel configuration'!$AG$4:$AH$21</definedName>
    <definedName name="b_BlackoutPriceTab">'Basswood Panel configuration'!$Y$26:$AB$41</definedName>
    <definedName name="b_brc">'Basswood Panel configuration'!$T$19:$T$20</definedName>
    <definedName name="b_bt">'Basswood Panel configuration'!$AG$4:$AG$17</definedName>
    <definedName name="b_CCL">'Basswood Panel configuration'!$H$52:$H$53</definedName>
    <definedName name="b_CF">'Basswood Panel configuration'!$R$4:$R$28</definedName>
    <definedName name="b_CL">'Basswood Panel configuration'!$H$4:$H$53</definedName>
    <definedName name="b_colourpricetab">'Basswood Panel configuration'!$H$3:$I$56</definedName>
    <definedName name="b_Config">'Basswood Panel configuration'!$R$4:$R$28</definedName>
    <definedName name="b_CT">'Basswood Panel configuration'!$K$4:$K$5</definedName>
    <definedName name="b_FFCF">'Basswood Panel configuration'!$R$31:$R$36</definedName>
    <definedName name="b_FramePriceTab">'Basswood Panel configuration'!$Y$4:$AA$48</definedName>
    <definedName name="b_ft">'Basswood Panel configuration'!$Y$4:$Y$41</definedName>
    <definedName name="b_fttrack">'Basswood Panel configuration'!$Y$42:$Y$47</definedName>
    <definedName name="b_Gloss">'Basswood Panel configuration'!$AE$4:$AE$5</definedName>
    <definedName name="b_GlossPriceTab">'Basswood Panel configuration'!$AE$4:$AF$5</definedName>
    <definedName name="b_hc">'Basswood Panel configuration'!$V$4:$V$21</definedName>
    <definedName name="b_hcPriceTab">'Basswood Panel configuration'!$V$4:$W$21</definedName>
    <definedName name="b_laths">'Standard Configurations'!$AK$2:$AK$32</definedName>
    <definedName name="b_lv">'Basswood Panel configuration'!$D$4:$D$47</definedName>
    <definedName name="b_lvTransTab">'Basswood Panel configuration'!$D$4:$F$47</definedName>
    <definedName name="b_M_T">'Basswood Panel configuration'!$N$4:$N$19</definedName>
    <definedName name="b_M_T_PriceTab">'Basswood Panel configuration'!$N$4:$O$19</definedName>
    <definedName name="b_NoRcLv">'Basswood Panel configuration'!$D$64:$D$88</definedName>
    <definedName name="b_OpenBPLv">'Basswood Panel configuration'!$D$50:$D$61</definedName>
    <definedName name="b_RC_Option">OFFSET('[1]Basswood Panel configuration'!$D$4:$D$47,0,0,IF('Purchase Order SCRAFT'!XEY1048540="Tier on Tier",17,23),1)</definedName>
    <definedName name="b_rd">'Basswood Panel configuration'!$T$4:$T$9</definedName>
    <definedName name="b_rd1">'Basswood Panel configuration'!$T$24:$T$26</definedName>
    <definedName name="b_rdbr">'Basswood Panel configuration'!$T$13:$T$16</definedName>
    <definedName name="b_rdrc">'Basswood Panel configuration'!$T$7:$T$9</definedName>
    <definedName name="b_TPostPriceTab">'Basswood Panel configuration'!$AC$4:$AD$16</definedName>
    <definedName name="b_TPosts">'Basswood Panel configuration'!$AC$4:$AC$16</definedName>
    <definedName name="batten_total">'Pricing and calculations'!$P$54</definedName>
    <definedName name="BattenPriceTab">INDIRECT(prefix &amp; "BattenPriceTab")</definedName>
    <definedName name="Black_out_charge">INDIRECT(prefix &amp; blackoutpricetab)</definedName>
    <definedName name="Blackout_blind__Ash__Inside">'Craftwood + Panel config '!$Y$21:$AB$36</definedName>
    <definedName name="blackoutpricetab">INDIRECT(prefix &amp; "BlackoutPriceTab")</definedName>
    <definedName name="BPCF">INDIRECT(prefix &amp; "BPCF")</definedName>
    <definedName name="BPosts">INDIRECT(prefix &amp; "Bposts")</definedName>
    <definedName name="brc">INDIRECT(prefix &amp; "brc")</definedName>
    <definedName name="bt">INDIRECT(prefix &amp; "bt")</definedName>
    <definedName name="BuildOutOptions">'Standard Configurations'!$C$2:$C$4</definedName>
    <definedName name="BuildOutSize">'Pricing and calculations'!$V$74</definedName>
    <definedName name="bw">INDIRECT(prefix &amp; "bw")</definedName>
    <definedName name="CCL">INDIRECT(prefix &amp; "CCL")</definedName>
    <definedName name="ce_BattenPriceTab">'Cedarwood Panel configuration'!$AH$4:$AI$21</definedName>
    <definedName name="ce_BlackoutPriceTab">'Cedarwood Panel configuration'!$Y$16:$AB$31</definedName>
    <definedName name="ce_brc">'Cedarwood Panel configuration'!$T$18:$T$19</definedName>
    <definedName name="ce_bt">'Cedarwood Panel configuration'!$AH$4:$AH$17</definedName>
    <definedName name="ce_CCL">'Cedarwood Panel configuration'!$H$22:$H$23</definedName>
    <definedName name="ce_CF">'Cedarwood Panel configuration'!$R$5:$R$29</definedName>
    <definedName name="ce_CL">'Cedarwood Panel configuration'!$H$4:$H$23</definedName>
    <definedName name="ce_colourpricetab">'Cedarwood Panel configuration'!$H$3:$I$25</definedName>
    <definedName name="ce_Config">'Cedarwood Panel configuration'!$R$5:$R$29</definedName>
    <definedName name="ce_CT">'Cedarwood Panel configuration'!$K$4:$K$5</definedName>
    <definedName name="ce_FFCF">'Cedarwood Panel configuration'!$R$36:$R$41</definedName>
    <definedName name="ce_FramePriceTab">'Cedarwood Panel configuration'!$Y$4:$AA$39</definedName>
    <definedName name="ce_ft">'Cedarwood Panel configuration'!$Y$4:$Y$15</definedName>
    <definedName name="ce_fttrack">'Cedarwood Panel configuration'!$Y$32:$Y$37</definedName>
    <definedName name="ce_Gloss">'Cedarwood Panel configuration'!$AE$4:$AE$5</definedName>
    <definedName name="ce_GlossPriceTab">'Cedarwood Panel configuration'!$AE$4:$AF$5</definedName>
    <definedName name="ce_hc">'Cedarwood Panel configuration'!$V$4:$V$21</definedName>
    <definedName name="ce_hcPriceTab">'Cedarwood Panel configuration'!$V$4:$W$21</definedName>
    <definedName name="ce_laths">'Standard Configurations'!$AK$2:$AK$32</definedName>
    <definedName name="ce_lv">'Cedarwood Panel configuration'!$D$4:$D$44</definedName>
    <definedName name="ce_lvTransTab">'Cedarwood Panel configuration'!$D$4:$F$44</definedName>
    <definedName name="ce_M_T">'Cedarwood Panel configuration'!$N$4:$N$19</definedName>
    <definedName name="ce_M_T_PriceTab">'Cedarwood Panel configuration'!$N$4:$O$19</definedName>
    <definedName name="ce_NoRcLv">'Cedarwood Panel configuration'!$D$62:$D$84</definedName>
    <definedName name="ce_oldcolourpricetab">'Cedarwood Panel configuration'!$H$3:$I$25</definedName>
    <definedName name="ce_OpenBPLv">'Cedarwood Panel configuration'!$D$48:$D$59</definedName>
    <definedName name="ce_rd">'Cedarwood Panel configuration'!$T$4:$T$9</definedName>
    <definedName name="ce_rd1">'Cedarwood Panel configuration'!$T$23:$T$25</definedName>
    <definedName name="ce_rdbr">'Cedarwood Panel configuration'!$T$13:$T$16</definedName>
    <definedName name="ce_rdrc">'Cedarwood Panel configuration'!$T$7:$T$9</definedName>
    <definedName name="ce_TPostPriceTab">'Cedarwood Panel configuration'!$AC$4:$AD$13</definedName>
    <definedName name="ce_TPosts">'Cedarwood Panel configuration'!$AC$4:$AC$13</definedName>
    <definedName name="CentreCustomLColour">INDIRECT(BlindsPrefix &amp; "CentreCustomLColour")</definedName>
    <definedName name="CentreLadderColour">INDIRECT(BlindsPrefix &amp; "CentreLadderColour")</definedName>
    <definedName name="CF">INDIRECT(prefix &amp; "CF")</definedName>
    <definedName name="CL">INDIRECT(prefix &amp; "CL")</definedName>
    <definedName name="CleatPriceTab">INDIRECT(BlindsPrefix &amp; "CleatPriceTab")</definedName>
    <definedName name="CLold">INDIRECT(prefix &amp; "Clold")</definedName>
    <definedName name="co_BattenPriceTab">'CoralWood Panel configuration'!$AG$4:$AH$21</definedName>
    <definedName name="co_BlackoutPriceTab">'CoralWood Panel configuration'!$Y$23:$AB$38</definedName>
    <definedName name="co_BPCF">'CoralWood Panel configuration'!$R$33:$R$42</definedName>
    <definedName name="co_BPosts">'CoralWood Panel configuration'!$AC$9:$AC$14</definedName>
    <definedName name="co_brc">'CoralWood Panel configuration'!$T$26:$T$27</definedName>
    <definedName name="co_bt">'CoralWood Panel configuration'!$AG$4:$AG$17</definedName>
    <definedName name="co_CF">'CoralWood Panel configuration'!$R$4:$R$13</definedName>
    <definedName name="co_CL">'CoralWood Panel configuration'!$H$4:$H$9</definedName>
    <definedName name="co_colourpricetab">'CoralWood Panel configuration'!$H$3:$I$11</definedName>
    <definedName name="co_Config">'CoralWood Panel configuration'!$R$4:$R$13</definedName>
    <definedName name="co_CPosts">'CoralWood Panel configuration'!$AC$7:$AC$8</definedName>
    <definedName name="co_CT">'CoralWood Panel configuration'!$K$4:$K$4</definedName>
    <definedName name="co_FFCF">'CoralWood Panel configuration'!$R$25:$R$30</definedName>
    <definedName name="co_FramePriceTab">'CoralWood Panel configuration'!$Y$4:$AA$45</definedName>
    <definedName name="co_FramePriceTabOld">'CoralWood Panel configuration'!$Y$49:$AA$85</definedName>
    <definedName name="co_ft">'CoralWood Panel configuration'!$Y$4:$Y$38</definedName>
    <definedName name="co_ftOld">'CoralWood Panel configuration'!$Y$49:$Y$79</definedName>
    <definedName name="co_fttrack">'CoralWood Panel configuration'!$Y$39:$Y$44</definedName>
    <definedName name="co_fttrackOld">'CoralWood Panel configuration'!$Y$80:$Y$85</definedName>
    <definedName name="co_Gloss">'CoralWood Panel configuration'!$AE$4:$AE$4</definedName>
    <definedName name="co_GlossPriceTab">'CoralWood Panel configuration'!$AE$4:$AF$4</definedName>
    <definedName name="co_hc">'CoralWood Panel configuration'!$V$4:$V$12</definedName>
    <definedName name="co_hcPriceTab">'CoralWood Panel configuration'!$V$4:$W$12</definedName>
    <definedName name="co_laths">'Standard Configurations'!$AK$2:$AK$32</definedName>
    <definedName name="co_lv">'CoralWood Panel configuration'!$D$4:$D$10</definedName>
    <definedName name="co_lvTransTab">'CoralWood Panel configuration'!$D$4:$F$10</definedName>
    <definedName name="co_M_T">'CoralWood Panel configuration'!$N$4:$N$18</definedName>
    <definedName name="co_M_T_PriceTab">'CoralWood Panel configuration'!$N$4:$O$18</definedName>
    <definedName name="co_NoRcLv">'CoralWood Panel configuration'!$D$26:$D$29</definedName>
    <definedName name="co_oldcolourpricetab">'CoralWood Panel configuration'!$H$3:$I$11</definedName>
    <definedName name="co_OpenBPLv">'CoralWood Panel configuration'!$D$19:$D$22</definedName>
    <definedName name="co_rd">'CoralWood Panel configuration'!$T$4:$T$12</definedName>
    <definedName name="co_rd1">'CoralWood Panel configuration'!$T$31:$T$33</definedName>
    <definedName name="co_rdbr">'CoralWood Panel configuration'!$T$18:$T$23</definedName>
    <definedName name="co_rdrc">'CoralWood Panel configuration'!$T$10:$T$12</definedName>
    <definedName name="co_ShapePriceTab">'CoralWood Panel configuration'!$N$19:$O$19</definedName>
    <definedName name="co_TPostPriceTab">'CoralWood Panel configuration'!$AC$4:$AD$14</definedName>
    <definedName name="co_TPostPriceTabOld">'CoralWood Panel configuration'!$AC$18:$AD$27</definedName>
    <definedName name="co_TPosts">'CoralWood Panel configuration'!$AC$4:$AC$6</definedName>
    <definedName name="co_TPostsOld">'CoralWood Panel configuration'!$AC$18:$AC$27</definedName>
    <definedName name="Colour">INDIRECT(prefix &amp; "Colour")</definedName>
    <definedName name="colourpricetab">INDIRECT(prefix &amp; "colourpricetab")</definedName>
    <definedName name="Config">INDIRECT(prefix &amp;"Config")</definedName>
    <definedName name="cp_BattenPriceTab">'Craftwood + Panel config '!$AG$4:$AH$21</definedName>
    <definedName name="cp_BlackoutPriceTab">'Craftwood + Panel config '!$Y$21:$AB$36</definedName>
    <definedName name="cp_BPCF">'Craftwood + Panel config '!$R$27:$R$36</definedName>
    <definedName name="cp_BPosts">'Craftwood + Panel config '!$AC$9:$AC$14</definedName>
    <definedName name="cp_brc">'Craftwood + Panel config '!$T$25:$T$26</definedName>
    <definedName name="cp_bt">'Craftwood + Panel config '!$AG$4:$AG$17</definedName>
    <definedName name="cp_CF">'Craftwood + Panel config '!$R$4:$R$11</definedName>
    <definedName name="cp_CL">'Craftwood + Panel config '!$H$4:$H$31</definedName>
    <definedName name="cp_colourpricetab">'Craftwood + Panel config '!$H$3:$I$33</definedName>
    <definedName name="cp_Config">'Craftwood + Panel config '!$R$4:$R$11</definedName>
    <definedName name="cp_CPosts">'Craftwood + Panel config '!$AC$7:$AC$8</definedName>
    <definedName name="cp_CT">'Craftwood + Panel config '!$K$4:$K$4</definedName>
    <definedName name="cp_FFCF">'Craftwood + Panel config '!$R$19:$R$24</definedName>
    <definedName name="cp_FramePriceTab">'Craftwood + Panel config '!$Y$4:$AA$45</definedName>
    <definedName name="cp_ft">'Craftwood + Panel config '!$Y$4:$Y$38</definedName>
    <definedName name="cp_fttrack">'Craftwood + Panel config '!$Y$39:$Y$44</definedName>
    <definedName name="cp_Gloss">'Craftwood + Panel config '!$AE$4</definedName>
    <definedName name="cp_GlossPriceTab">'Craftwood + Panel config '!$AE$4:$AF$4</definedName>
    <definedName name="cp_hc">'Craftwood + Panel config '!$V$4:$V$12</definedName>
    <definedName name="cp_hcPriceTab">'Craftwood + Panel config '!$V$4:$W$12</definedName>
    <definedName name="cp_laths">'Standard Configurations'!$AK$2:$AK$32</definedName>
    <definedName name="cp_lv">'Craftwood + Panel config '!$D$4:$D$32</definedName>
    <definedName name="cp_lvTransTab">'Craftwood + Panel config '!$D$4:$F$32</definedName>
    <definedName name="cp_M_T">'Craftwood + Panel config '!$N$4:$N$30</definedName>
    <definedName name="cp_M_T_PriceTab">'Craftwood + Panel config '!$N$4:$O$30</definedName>
    <definedName name="cp_NoRcLv">'Craftwood + Panel config '!$D$44:$D$68</definedName>
    <definedName name="cp_OpenBPLv">'Craftwood + Panel config '!$D$38:$D$40</definedName>
    <definedName name="cp_rd">'Craftwood + Panel config '!$T$4:$T$12</definedName>
    <definedName name="cp_rd1">'Craftwood + Panel config '!$T$30:$T$32</definedName>
    <definedName name="cp_rdbr">'Craftwood + Panel config '!$T$17:$T$22</definedName>
    <definedName name="cp_rdrc">'Craftwood + Panel config '!$T$10:$T$12</definedName>
    <definedName name="cp_ShapePriceTab">'Craftwood + Panel config '!$N$19:$O$30</definedName>
    <definedName name="cp_TPostPriceTab">'Craftwood + Panel config '!$AC$4:$AD$14</definedName>
    <definedName name="cp_TPosts">'Craftwood + Panel config '!$AC$4:$AC$6</definedName>
    <definedName name="CPosts">INDIRECT(prefix &amp; "CPosts")</definedName>
    <definedName name="cr_BattenPriceTab">'Craftwood Panel configuration'!$AG$4:$AH$21</definedName>
    <definedName name="cr_BlackoutPriceTab">'Craftwood Panel configuration'!$Y$23:$AB$38</definedName>
    <definedName name="cr_BPCF">'Craftwood Panel configuration'!$R$27:$R$36</definedName>
    <definedName name="cr_BPosts">'Craftwood Panel configuration'!$AC$9:$AC$14</definedName>
    <definedName name="cr_brc">'Craftwood Panel configuration'!$T$25:$T$26</definedName>
    <definedName name="cr_bt">'Craftwood Panel configuration'!$AG$4:$AG$17</definedName>
    <definedName name="cr_CF">'Craftwood Panel configuration'!$R$4:$R$11</definedName>
    <definedName name="cr_CL">'Craftwood Panel configuration'!$H$4:$H$8</definedName>
    <definedName name="cr_colourpricetab">'Craftwood Panel configuration'!$H$3:$I$10</definedName>
    <definedName name="cr_Config">'Craftwood Panel configuration'!$R$4:$R$11</definedName>
    <definedName name="cr_CPosts">'Craftwood Panel configuration'!$AC$7:$AC$8</definedName>
    <definedName name="cr_CT">'Craftwood Panel configuration'!$K$4:$K$4</definedName>
    <definedName name="cr_FFCF">'Craftwood Panel configuration'!$R$19:$R$24</definedName>
    <definedName name="cr_FramePriceTab">'Craftwood Panel configuration'!$Y$4:$AA$45</definedName>
    <definedName name="cr_ft">'Craftwood Panel configuration'!$Y$4:$Y$38</definedName>
    <definedName name="cr_fttrack">'Craftwood Panel configuration'!$Y$39:$Y$44</definedName>
    <definedName name="cr_Gloss">'Craftwood Panel configuration'!$AE$4:$AE$4</definedName>
    <definedName name="cr_GlossPriceTab">'Craftwood Panel configuration'!$AE$4:$AF$4</definedName>
    <definedName name="cr_hc">'Craftwood Panel configuration'!$V$4:$V$12</definedName>
    <definedName name="cr_hcPriceTab">'Craftwood Panel configuration'!$V$4:$W$12</definedName>
    <definedName name="cr_laths">'Standard Configurations'!$AK$2:$AK$32</definedName>
    <definedName name="cr_lv">'Craftwood Panel configuration'!$D$4:$D$32</definedName>
    <definedName name="cr_lvTransTab">'Craftwood Panel configuration'!$D$4:$F$32</definedName>
    <definedName name="cr_M_T">'Craftwood Panel configuration'!$N$4:$N$30</definedName>
    <definedName name="cr_M_T_PriceTab">'Craftwood Panel configuration'!$N$4:$O$30</definedName>
    <definedName name="cr_NoRcLv">'Craftwood Panel configuration'!$D$47:$D$71</definedName>
    <definedName name="cr_oldcolourpricetab">'Craftwood Panel configuration'!$H$3:$I$10</definedName>
    <definedName name="cr_OpenBPLv">'Craftwood Panel configuration'!$D$41:$D$43</definedName>
    <definedName name="cr_rd">'Craftwood Panel configuration'!$T$4:$T$12</definedName>
    <definedName name="cr_rd1">'Craftwood Panel configuration'!$T$30:$T$32</definedName>
    <definedName name="cr_rdbr">'Craftwood Panel configuration'!$T$17:$T$22</definedName>
    <definedName name="cr_rdrc">'Craftwood Panel configuration'!$T$10:$T$12</definedName>
    <definedName name="cr_ShapePriceTab">'Craftwood Panel configuration'!$N$19:$O$30</definedName>
    <definedName name="cr_TPostPriceTab">'Craftwood Panel configuration'!$AC$4:$AD$14</definedName>
    <definedName name="cr_TPosts">'Craftwood Panel configuration'!$AC$4:$AC$6</definedName>
    <definedName name="CT">INDIRECT(prefix &amp; "CT")</definedName>
    <definedName name="Customer_name">'Purchase Order SCRAFT'!$M$3</definedName>
    <definedName name="Dealer_Name">'Purchase Order SCRAFT'!$G$1</definedName>
    <definedName name="Dealer_Order_no">'Purchase Order SCRAFT'!$M$1</definedName>
    <definedName name="DeliverAddress">'Pricing and calculations'!$I$2</definedName>
    <definedName name="DeliveryAddressChoice">'Pricing and calculations'!$H$2</definedName>
    <definedName name="DeliveryCharge">'Pricing and calculations'!$G$2</definedName>
    <definedName name="DeliveryChoice">'Purchase Order SCRAFT'!$X$79</definedName>
    <definedName name="DeliveryPriceTab">'Standard Configurations'!$L$2:$O$5</definedName>
    <definedName name="deliverytype">'Standard Configurations'!$L$2:$L$5</definedName>
    <definedName name="Discount">'Pricing and calculations'!$G$1</definedName>
    <definedName name="discountrange">INDIRECT(prefix &amp; "discountrange")</definedName>
    <definedName name="DuluxColours">'Purchase Order SCRAFT'!$Z$27</definedName>
    <definedName name="EDR_Action1">EDR!$G$20</definedName>
    <definedName name="EDR_Action10">EDR!$G$29</definedName>
    <definedName name="EDR_Action11">EDR!$G$30</definedName>
    <definedName name="EDR_Action12">EDR!$G$31</definedName>
    <definedName name="EDR_Action13">EDR!$G$32</definedName>
    <definedName name="EDR_Action14">EDR!$G$33</definedName>
    <definedName name="EDR_Action15">EDR!$G$34</definedName>
    <definedName name="EDR_Action16">EDR!$G$35</definedName>
    <definedName name="EDR_Action17">EDR!$G$36</definedName>
    <definedName name="EDR_Action18">EDR!$G$37</definedName>
    <definedName name="EDR_Action19">EDR!$G$38</definedName>
    <definedName name="EDR_Action2">EDR!$G$21</definedName>
    <definedName name="EDR_Action20">EDR!$G$39</definedName>
    <definedName name="EDR_Action3">EDR!$G$22</definedName>
    <definedName name="EDR_Action4">EDR!$G$23</definedName>
    <definedName name="EDR_Action5">EDR!$G$24</definedName>
    <definedName name="EDR_Action6">EDR!$G$25</definedName>
    <definedName name="EDR_Action7">EDR!$G$26</definedName>
    <definedName name="EDR_Action8">EDR!$G$27</definedName>
    <definedName name="EDR_Action9">EDR!$G$28</definedName>
    <definedName name="EDR_Date">EDR!$H$9</definedName>
    <definedName name="EDR_Details1">EDR!$C$20</definedName>
    <definedName name="EDR_Details10">EDR!$C$29</definedName>
    <definedName name="EDR_Details11">EDR!$C$30</definedName>
    <definedName name="EDR_Details12">EDR!$C$31</definedName>
    <definedName name="EDR_Details13">EDR!$C$32</definedName>
    <definedName name="EDR_Details14">EDR!$C$33</definedName>
    <definedName name="EDR_Details15">EDR!$C$34</definedName>
    <definedName name="EDR_Details16">EDR!$C$35</definedName>
    <definedName name="EDR_Details17">EDR!$C$36</definedName>
    <definedName name="EDR_Details18">EDR!$C$37</definedName>
    <definedName name="EDR_Details19">EDR!$C$38</definedName>
    <definedName name="EDR_Details2">EDR!$C$21</definedName>
    <definedName name="EDR_Details20">EDR!$C$39</definedName>
    <definedName name="EDR_Details3">EDR!$C$22</definedName>
    <definedName name="EDR_Details4">EDR!$C$23</definedName>
    <definedName name="EDR_Details5">EDR!$C$24</definedName>
    <definedName name="EDR_Details6">EDR!$C$25</definedName>
    <definedName name="EDR_Details7">EDR!$C$26</definedName>
    <definedName name="EDR_Details8">EDR!$C$27</definedName>
    <definedName name="EDR_Details9">EDR!$C$28</definedName>
    <definedName name="EDR_Done1">EDR!$K$20</definedName>
    <definedName name="EDR_Done10">EDR!$K$29</definedName>
    <definedName name="EDR_Done11">EDR!$K$30</definedName>
    <definedName name="EDR_Done12">EDR!$K$31</definedName>
    <definedName name="EDR_Done13">EDR!$K$32</definedName>
    <definedName name="EDR_Done14">EDR!$K$33</definedName>
    <definedName name="EDR_Done15">EDR!$K$34</definedName>
    <definedName name="EDR_Done16">EDR!$K$35</definedName>
    <definedName name="EDR_Done17">EDR!$K$36</definedName>
    <definedName name="EDR_Done18">EDR!$K$37</definedName>
    <definedName name="EDR_Done19">EDR!$K$38</definedName>
    <definedName name="EDR_Done2">EDR!$K$21</definedName>
    <definedName name="EDR_Done20">EDR!$K$39</definedName>
    <definedName name="EDR_Done3">EDR!$K$22</definedName>
    <definedName name="EDR_Done4">EDR!$K$23</definedName>
    <definedName name="EDR_Done5">EDR!$K$24</definedName>
    <definedName name="EDR_Done6">EDR!$K$25</definedName>
    <definedName name="EDR_Done7">EDR!$K$26</definedName>
    <definedName name="EDR_Done8">EDR!$K$27</definedName>
    <definedName name="EDR_Done9">EDR!$K$28</definedName>
    <definedName name="EDR_Line1">EDR!$A$20</definedName>
    <definedName name="EDR_Line10">EDR!$A$29</definedName>
    <definedName name="EDR_Line11">EDR!$A$30</definedName>
    <definedName name="EDR_Line12">EDR!$A$31</definedName>
    <definedName name="EDR_Line13">EDR!$A$32</definedName>
    <definedName name="EDR_Line14">EDR!$A$33</definedName>
    <definedName name="EDR_Line15">EDR!$A$34</definedName>
    <definedName name="EDR_Line16">EDR!$A$35</definedName>
    <definedName name="EDR_Line17">EDR!$A$36</definedName>
    <definedName name="EDR_Line18">EDR!$A$37</definedName>
    <definedName name="EDR_Line19">EDR!$A$38</definedName>
    <definedName name="EDR_Line2">EDR!$A$21</definedName>
    <definedName name="EDR_Line20">EDR!$A$39</definedName>
    <definedName name="EDR_Line3">EDR!$A$22</definedName>
    <definedName name="EDR_Line4">EDR!$A$23</definedName>
    <definedName name="EDR_Line5">EDR!$A$24</definedName>
    <definedName name="EDR_Line6">EDR!$A$25</definedName>
    <definedName name="EDR_Line7">EDR!$A$26</definedName>
    <definedName name="EDR_Line8">EDR!$A$27</definedName>
    <definedName name="EDR_Line9">EDR!$A$28</definedName>
    <definedName name="EDRReason1">EDR!$P$20</definedName>
    <definedName name="EDRReason10">EDR!$P$29</definedName>
    <definedName name="EDRReason11">EDR!$P$30</definedName>
    <definedName name="EDRReason12">EDR!$P$31</definedName>
    <definedName name="EDRReason13">EDR!$P$32</definedName>
    <definedName name="EDRReason14">EDR!$P$33</definedName>
    <definedName name="EDRReason15">EDR!$P$34</definedName>
    <definedName name="EDRReason16">EDR!$P$35</definedName>
    <definedName name="EDRReason17">EDR!$P$36</definedName>
    <definedName name="EDRReason18">EDR!$P$37</definedName>
    <definedName name="EDRReason19">EDR!$P$38</definedName>
    <definedName name="EDRReason2">EDR!$P$21</definedName>
    <definedName name="EDRReason20">EDR!$P$39</definedName>
    <definedName name="EDRReason3">EDR!$P$22</definedName>
    <definedName name="EDRReason4">EDR!$P$23</definedName>
    <definedName name="EDRReason5">EDR!$P$24</definedName>
    <definedName name="EDRReason6">EDR!$P$25</definedName>
    <definedName name="EDRReason7">EDR!$P$26</definedName>
    <definedName name="EDRReason8">EDR!$P$27</definedName>
    <definedName name="EDRReason9">EDR!$P$28</definedName>
    <definedName name="Ex_Stiles">'Standard Configurations'!$AJ$2:$AJ$5</definedName>
    <definedName name="f_BattenPriceTab">'Fiji configuration'!$AH$4:$AI$21</definedName>
    <definedName name="f_BlackoutPriceTab">'Fiji configuration'!$Y$26:$AB$41</definedName>
    <definedName name="f_BPCF">'Fiji configuration'!$R$32:$R$41</definedName>
    <definedName name="f_BPosts">'Fiji configuration'!$AC$12:$AC$17</definedName>
    <definedName name="f_brc">'Fiji configuration'!$T$25:$T$26</definedName>
    <definedName name="f_bt">'Fiji configuration'!$AH$4:$AH$17</definedName>
    <definedName name="f_CCL">'Fiji configuration'!$H$53:$H$55</definedName>
    <definedName name="f_CF">'Fiji configuration'!$R$5:$R$19</definedName>
    <definedName name="f_CL">'Fiji configuration'!$H$4:$H$55</definedName>
    <definedName name="f_colourpricetab">'Fiji configuration'!$H$3:$I$55</definedName>
    <definedName name="f_Config">'Fiji configuration'!$R$5:$R$19</definedName>
    <definedName name="f_CPosts">'Fiji configuration'!$AC$10:$AC$11</definedName>
    <definedName name="f_CT">'Fiji configuration'!$K$4:$K$5</definedName>
    <definedName name="f_FFCF">'Fiji configuration'!$R$24:$R$29</definedName>
    <definedName name="f_FramePriceTab">'Fiji configuration'!$Y$4:$AA$47</definedName>
    <definedName name="f_ft">'Fiji configuration'!$Y$4:$Y$41</definedName>
    <definedName name="f_fttrack">'Fiji configuration'!$Y$42:$Y$47</definedName>
    <definedName name="f_Gloss">'Fiji configuration'!$AE$4:$AE$5</definedName>
    <definedName name="f_GlossPriceTab">'Fiji configuration'!$AE$4:$AG$5</definedName>
    <definedName name="f_hc">'Fiji configuration'!$V$4:$V$12</definedName>
    <definedName name="f_hcPriceTab">'Fiji configuration'!$V$4:$W$12</definedName>
    <definedName name="f_laths">'Standard Configurations'!$AK$2:$AK$32</definedName>
    <definedName name="f_lv">'Fiji configuration'!$D$4:$D$52</definedName>
    <definedName name="f_lvTranstab">'Fiji configuration'!$D$4:$F$60</definedName>
    <definedName name="f_M_T">'Fiji configuration'!$N$4:$N$42</definedName>
    <definedName name="f_M_T_PriceTab">'Fiji configuration'!$N$4:$O$42</definedName>
    <definedName name="f_NoRcLv">'Fiji configuration'!$D$75:$D$101</definedName>
    <definedName name="f_OPenBPLv">'Fiji configuration'!$D$67:$D$72</definedName>
    <definedName name="f_rd">'Fiji configuration'!$T$4:$T$12</definedName>
    <definedName name="f_rd1">'Fiji configuration'!$T$29:$T$31</definedName>
    <definedName name="f_rdbr">'Fiji configuration'!$T$16:$T$21</definedName>
    <definedName name="f_rdrc">'Fiji configuration'!$T$10:$T$12</definedName>
    <definedName name="F_ShapePriceTab">'Fiji configuration'!$N$19:$O$42</definedName>
    <definedName name="f_SpareLouvrePrice">'Fiji configuration'!$E$62</definedName>
    <definedName name="f_TPostPriceTab">'Fiji configuration'!$AC$4:$AD$17</definedName>
    <definedName name="f_Tposts">'Fiji configuration'!$AC$4:$AC$9</definedName>
    <definedName name="fakroM_T">'Skylight configuration'!$N$30:$N$43</definedName>
    <definedName name="FFCF">INDIRECT(prefix &amp; "FFCF")</definedName>
    <definedName name="Final_Date">'Pricing and calculations'!$G$4</definedName>
    <definedName name="Form_Name">'Purchase Order SCRAFT'!$Y$1</definedName>
    <definedName name="Form_Type">'Pricing and calculations'!$Q$36</definedName>
    <definedName name="Form_type_tab">'Standard Configurations'!$J$2:$K$4</definedName>
    <definedName name="Form_Types">'Standard Configurations'!$J$2:$J$4</definedName>
    <definedName name="Form_Types_OP">'Standard Configurations'!$J$3</definedName>
    <definedName name="Form_Types_with_Ex">'Standard Configurations'!$J$2:$J$4</definedName>
    <definedName name="FormTypes">'Standard Configurations'!$J$2:$J$5</definedName>
    <definedName name="FramePriceTab">IF(AND(prefix="co_",TODAY()&lt;40452),co_FramePriceTabOld,INDIRECT(prefix &amp; "FramePriceTab"))</definedName>
    <definedName name="FreeFloatPanels">'Standard Configurations'!$AB$86:$AF$91</definedName>
    <definedName name="Freight_Charge">'Pricing and calculations'!$P$55</definedName>
    <definedName name="ft">IF(Form_Type="OP","",IF(AND(prefix="co_",TODAY()&lt;40452),co_ftOld,INDIRECT(prefix &amp; "ft")))</definedName>
    <definedName name="fttrack">INDIRECT(prefix &amp; "fttrack")</definedName>
    <definedName name="Gloss">IF(Form_Type="EX",INDIRECT(prefix &amp; 'Pricing and calculations'!$D93 &amp; "Product"),INDIRECT(prefix &amp; "Gloss"))</definedName>
    <definedName name="Gloss_Option">IF(AND(LEFT('Purchase Order SCRAFT'!$Z$7,1)&gt;="4",LEFT('Purchase Order SCRAFT'!$Z$7,1)&lt;="6"),#REF!,Gloss)</definedName>
    <definedName name="GlossPriceTab">INDIRECT(prefix &amp; "GlossPriceTab")</definedName>
    <definedName name="hc">INDIRECT(prefix &amp; "hc")</definedName>
    <definedName name="hcPriceTab">INDIRECT(prefix &amp; "hcPriceTab")</definedName>
    <definedName name="HDBracket">INDIRECT(BlindsPrefix &amp; "HDBracket")</definedName>
    <definedName name="HeadrailFinish">INDIRECT(BlindsPrefix &amp; "HeadrailFinish")</definedName>
    <definedName name="ItemsAtCost">'Pricing and calculations'!$S$7:$S$26</definedName>
    <definedName name="ItemsDiscounted">'Pricing and calculations'!$R$7:$R$26</definedName>
    <definedName name="ItemsTrade">'Pricing and calculations'!$Q$7:$Q$26</definedName>
    <definedName name="l_BattenPriceTab">'Larchwood configuration'!$AG$4:$AH$21</definedName>
    <definedName name="l_BlackoutPriceTab">'Larchwood configuration'!$Y$17:$AB$32</definedName>
    <definedName name="l_brc">'Larchwood configuration'!$T$20:$T$21</definedName>
    <definedName name="l_bt">'Larchwood configuration'!$AG$4:$AG$17</definedName>
    <definedName name="l_CCL">'Larchwood configuration'!$H$53:$H$54</definedName>
    <definedName name="l_CF">'Larchwood configuration'!$R$5:$R$19</definedName>
    <definedName name="l_CL">'Larchwood configuration'!$H$4:$H$54</definedName>
    <definedName name="l_colourpricetab">'Larchwood configuration'!$H$3:$I$59</definedName>
    <definedName name="l_Config">'Larchwood configuration'!$R$5:$R$19</definedName>
    <definedName name="l_CT">'Larchwood configuration'!$K$4:$K$5</definedName>
    <definedName name="l_FFCF">'Larchwood configuration'!$R$24:$R$29</definedName>
    <definedName name="l_FramePriceTab">'Larchwood configuration'!$Y$4:$AA$38</definedName>
    <definedName name="l_ft">'Larchwood configuration'!$Y$4:$Y$31</definedName>
    <definedName name="l_fttrack">'Larchwood configuration'!$Y$32:$Y$37</definedName>
    <definedName name="l_Gloss">'Larchwood configuration'!$AE$4:$AE$5</definedName>
    <definedName name="l_GlossPriceTab">'Larchwood configuration'!$AE$4:$AF$5</definedName>
    <definedName name="l_hc">'Larchwood configuration'!$V$4:$V$21</definedName>
    <definedName name="l_hcPriceTab">'Larchwood configuration'!$V$4:$W$21</definedName>
    <definedName name="l_lv">'Larchwood configuration'!$D$4:$D$24</definedName>
    <definedName name="l_lvTranstab">'Larchwood configuration'!$D$4:$F$24</definedName>
    <definedName name="l_M_T">'Larchwood configuration'!$N$4:$N$19</definedName>
    <definedName name="l_M_T_PriceTab">'Larchwood configuration'!$N$4:$O$19</definedName>
    <definedName name="l_NoRcLv">'Larchwood configuration'!$D$34:$D$50</definedName>
    <definedName name="l_OPenBPLv">'Larchwood configuration'!$D$28:$D$31</definedName>
    <definedName name="l_rd">'Larchwood configuration'!$T$4:$T$9</definedName>
    <definedName name="l_rd1">'Larchwood configuration'!$T$25:$T$27</definedName>
    <definedName name="l_rdbr">'Larchwood configuration'!$T$13:$T$16</definedName>
    <definedName name="l_rdrc">'Larchwood configuration'!$T$7:$T$9</definedName>
    <definedName name="l_TPostPriceTab">'Larchwood configuration'!$AC$4:$AD$15</definedName>
    <definedName name="l_Tposts">'Larchwood configuration'!$AC$4:$AC$15</definedName>
    <definedName name="Legheight_tab">'Standard Configurations'!$AB$2:$AF$82</definedName>
    <definedName name="LookupNo">'Pricing and calculations'!$Q$37</definedName>
    <definedName name="LouvredTab">INDIRECT(prefix &amp; "LouveredTab")</definedName>
    <definedName name="lv">INDIRECT(prefix &amp; "lv")</definedName>
    <definedName name="LvTransTab">INDIRECT(prefix &amp; "LvTransTab")</definedName>
    <definedName name="M_T">INDIRECT(prefix &amp;"M_T")</definedName>
    <definedName name="M_T_PriceTab">INDIRECT(prefix &amp; "M_T_PriceTab")</definedName>
    <definedName name="M_TGroup">INDIRECT(prefix &amp; "M_Tgroup")</definedName>
    <definedName name="Measure">'Standard Configurations'!$Q$2:$Q$3</definedName>
    <definedName name="Mounting_Factor_Tab">'Standard Configurations'!$AB$2:$AC$82</definedName>
    <definedName name="MultipleBlinds">INDIRECT(BlindsPrefix &amp; "MultipleBlinds")</definedName>
    <definedName name="N">'Standard Configurations'!$AF$3</definedName>
    <definedName name="Net_Freight_Value">EDR!$H$51</definedName>
    <definedName name="Net_Product_Value">EDR!$H$49</definedName>
    <definedName name="NetDelivery">'Pricing and calculations'!$P$56</definedName>
    <definedName name="NewColours">INDIRECT(prefix &amp; "_NewColours")</definedName>
    <definedName name="No_Stiles">'Standard Configurations'!$AJ$2</definedName>
    <definedName name="NoRcLv">INDIRECT(prefix &amp; "NoRcLv")</definedName>
    <definedName name="Notes">EDR!$K$41</definedName>
    <definedName name="oldCL">INDIRECT(prefix &amp; "oldCL")</definedName>
    <definedName name="oldColourpricetab">INDIRECT(prefix &amp; "oldColourpricetab")</definedName>
    <definedName name="OpenBPLv">INDIRECT(prefix &amp; "OpenBPLv")</definedName>
    <definedName name="Order_Date">'Purchase Order SCRAFT'!$S$3</definedName>
    <definedName name="p_BattenPriceTab">'Permawood Panel configuration'!$AG$4:$AH$21</definedName>
    <definedName name="p_BPCF">'Permawood Panel configuration'!$R$26:$R$35</definedName>
    <definedName name="p_BPosts">'Permawood Panel configuration'!$AC$9:$AC$12</definedName>
    <definedName name="p_bt">'Permawood Panel configuration'!$AG$4:$AG$17</definedName>
    <definedName name="p_CF">'Permawood Panel configuration'!$R$4:$R$11</definedName>
    <definedName name="p_CL">'Permawood Panel configuration'!$H$4:$H$9</definedName>
    <definedName name="p_colourpricetab">'Permawood Panel configuration'!$H$3:$I$11</definedName>
    <definedName name="p_Config">'Permawood Panel configuration'!$R$4:$R$11</definedName>
    <definedName name="p_CPosts">'Permawood Panel configuration'!$AC$7:$AC$8</definedName>
    <definedName name="p_CT">'Permawood Panel configuration'!$K$4:$K$5</definedName>
    <definedName name="p_FFCF">'Permawood Panel configuration'!$R$18:$R$23</definedName>
    <definedName name="p_FramePriceTab">'Permawood Panel configuration'!$Y$4:$AA$19</definedName>
    <definedName name="p_ft">'Permawood Panel configuration'!$Y$4:$Y$12</definedName>
    <definedName name="p_fttrack">'Permawood Panel configuration'!$Y$13:$Y$18</definedName>
    <definedName name="p_Gloss">'Permawood Panel configuration'!$AE$4:$AE$4</definedName>
    <definedName name="p_GlossPriceTab">'Permawood Panel configuration'!$AE$4:$AF$4</definedName>
    <definedName name="p_hc">'Permawood Panel configuration'!$V$4:$V$4</definedName>
    <definedName name="p_hcPriceTab">'Permawood Panel configuration'!$V$4:$W$4</definedName>
    <definedName name="p_laths">'Standard Configurations'!$AK$2:$AK$32</definedName>
    <definedName name="p_lv">'Permawood Panel configuration'!$D$4:$D$28</definedName>
    <definedName name="p_lvTransTab">'Permawood Panel configuration'!$D$4:$F$28</definedName>
    <definedName name="p_M_T">'Permawood Panel configuration'!$N$4:$N$42</definedName>
    <definedName name="p_M_T_PriceTab">'Permawood Panel configuration'!$N$4:$O$42</definedName>
    <definedName name="p_NoRcLv">'Permawood Panel configuration'!$D$39:$D$63</definedName>
    <definedName name="p_oldcolourpricetab">'Permawood Panel configuration'!$H$3:$I$11</definedName>
    <definedName name="p_OpenBPLv">'Permawood Panel configuration'!$D$34:$D$36</definedName>
    <definedName name="p_rd">'Permawood Panel configuration'!$T$4:$T$6</definedName>
    <definedName name="p_rd1">'Permawood Panel configuration'!$T$14:$T$14</definedName>
    <definedName name="p_rdbr">'Permawood Panel configuration'!$T$9:$T$10</definedName>
    <definedName name="p_ShapePriceTab">'Permawood Panel configuration'!$N$19:$O$42</definedName>
    <definedName name="p_TPostPriceTab">'Permawood Panel configuration'!$AC$4:$AD$12</definedName>
    <definedName name="p_TPosts">'Permawood Panel configuration'!$AC$4:$AC$6</definedName>
    <definedName name="PanelsSqM">'Pricing and calculations'!$M$54</definedName>
    <definedName name="prefix">'Pricing and calculations'!$Q$38</definedName>
    <definedName name="PriceAdjust">INDIRECT(prefix &amp; "PriceAdjust")</definedName>
    <definedName name="_xlnm.Print_Area" localSheetId="3">EDR!$A$1:$I$35</definedName>
    <definedName name="_xlnm.Print_Area" localSheetId="1">'Installation Spec'!$A$1:$AH$87</definedName>
    <definedName name="_xlnm.Print_Area" localSheetId="0">'Purchase Order SCRAFT'!$A$1:$AH$87</definedName>
    <definedName name="_xlnm.Print_Titles" localSheetId="0">'Purchase Order SCRAFT'!$A:$A</definedName>
    <definedName name="Promo_End_Date">'Pricing and calculations'!$I$3</definedName>
    <definedName name="Promo_formula">'Pricing and calculations'!$G$3</definedName>
    <definedName name="PromoDiscounts">'Standard Configurations'!$F$2:$I$8</definedName>
    <definedName name="PromoStartDate">'Pricing and calculations'!$H$3</definedName>
    <definedName name="PromoText">'Purchase Order SCRAFT'!$S$80</definedName>
    <definedName name="RC_Batt_Cost">'Standard Configurations'!$Y$2</definedName>
    <definedName name="RC_Handset_Cost">'Standard Configurations'!$AA$2</definedName>
    <definedName name="RC_included">'Pricing and calculations'!$I$27</definedName>
    <definedName name="RC_Solar_Cost">'Standard Configurations'!$Z$2</definedName>
    <definedName name="rd">INDIRECT(prefix &amp; "rd")</definedName>
    <definedName name="rdbr">INDIRECT(prefix &amp; "rdbr")</definedName>
    <definedName name="rdrc">INDIRECT(prefix &amp; "rdrc")</definedName>
    <definedName name="s_BattenPriceTab">'Sumatra Panel configuration'!$AG$4:$AH$21</definedName>
    <definedName name="s_BlackoutPriceTab">'Sumatra Panel configuration'!$Y$26:$AB$41</definedName>
    <definedName name="s_BPCF">'Sumatra Panel configuration'!$R$39:$R$48</definedName>
    <definedName name="s_BPosts">'Sumatra Panel configuration'!$AC$12:$AC$17</definedName>
    <definedName name="s_brc">'Sumatra Panel configuration'!$T$24:$T$25</definedName>
    <definedName name="s_bt">'Sumatra Panel configuration'!$AG$4:$AG$17</definedName>
    <definedName name="s_CCL">'Sumatra Panel configuration'!$H$54:$H$55</definedName>
    <definedName name="s_CF">'Sumatra Panel configuration'!$R$4:$R$28</definedName>
    <definedName name="s_CL">'Sumatra Panel configuration'!$H$4:$H$55</definedName>
    <definedName name="s_colourpricetab">'Sumatra Panel configuration'!$H$3:$I$55</definedName>
    <definedName name="s_Config">'Sumatra Panel configuration'!$R$4:$R$28</definedName>
    <definedName name="s_CPosts">'Sumatra Panel configuration'!$AC$10:$AC$11</definedName>
    <definedName name="s_CT">'Sumatra Panel configuration'!$K$4:$K$5</definedName>
    <definedName name="s_FFCF">'Sumatra Panel configuration'!$R$31:$R$36</definedName>
    <definedName name="s_FramePriceTab">'Sumatra Panel configuration'!$Y$4:$AA$48</definedName>
    <definedName name="s_ft">'Sumatra Panel configuration'!$Y$4:$Y$41</definedName>
    <definedName name="s_fttrack">'Sumatra Panel configuration'!$Y$42:$Y$47</definedName>
    <definedName name="s_Gloss">'Sumatra Panel configuration'!$AE$4:$AE$5</definedName>
    <definedName name="s_GlossPriceTab">'Sumatra Panel configuration'!$AE$4:$AF$5</definedName>
    <definedName name="s_hc">'Sumatra Panel configuration'!$V$4:$V$12</definedName>
    <definedName name="s_hcPriceTab">'Sumatra Panel configuration'!$V$4:$W$12</definedName>
    <definedName name="s_laths">'Standard Configurations'!$AK$2:$AK$32</definedName>
    <definedName name="s_lv">'Sumatra Panel configuration'!$D$4:$D$55</definedName>
    <definedName name="s_lvTransTab">'Sumatra Panel configuration'!$D$4:$F$55</definedName>
    <definedName name="s_M_T">'Sumatra Panel configuration'!$N$4:$N$42</definedName>
    <definedName name="s_M_T_PriceTab">'Sumatra Panel configuration'!$N$4:$O$42</definedName>
    <definedName name="s_NoRcLv">'Sumatra Panel configuration'!$D$66:$D$95</definedName>
    <definedName name="s_OpenBPLv">'Sumatra Panel configuration'!$D$58:$D$63</definedName>
    <definedName name="s_RC_Option">OFFSET('Sumatra Panel configuration'!$D$4:$D$43,0,0,IF('Purchase Order SCRAFT'!XDW1048562="Tier on Tier",17,23),1)</definedName>
    <definedName name="s_rd">'Sumatra Panel configuration'!$T$4:$T$12</definedName>
    <definedName name="s_rd1">'Sumatra Panel configuration'!$T$28:$T$30</definedName>
    <definedName name="s_rdbr">'Sumatra Panel configuration'!$T$16:$T$21</definedName>
    <definedName name="s_rdrc">'Sumatra Panel configuration'!$T$10:$T$12</definedName>
    <definedName name="s_ShapePriceTab">'Sumatra Panel configuration'!$N$19:$O$42</definedName>
    <definedName name="s_TPostPriceTab">'Sumatra Panel configuration'!$AC$4:$AD$17</definedName>
    <definedName name="s_TPosts">'Sumatra Panel configuration'!$AC$4:$AC$9</definedName>
    <definedName name="SC_ACno">'Purchase Order SCRAFT'!$G$3</definedName>
    <definedName name="SC_EDR_no">EDR!$H$5</definedName>
    <definedName name="SC_Order_No">'Purchase Order SCRAFT'!$S$1</definedName>
    <definedName name="ShapePriceTab">INDIRECT(prefix &amp; "ShapePriceTab")</definedName>
    <definedName name="SideMagnetOptions">IF(OR('Purchase Order SCRAFT'!A7="Tier-on-Tier",'Purchase Order SCRAFT'!A7="Café Style",LEFT('Purchase Order SCRAFT'!L7,1)="3"),"YN","No")</definedName>
    <definedName name="Sides">'Standard Configurations'!$T$2:$T$6</definedName>
    <definedName name="Sides1">'Standard Configurations'!$T$2</definedName>
    <definedName name="Sides3">'Standard Configurations'!$T$5</definedName>
    <definedName name="SidesCafe">'Standard Configurations'!$T$2:$T$4</definedName>
    <definedName name="SidesCodes">'Pricing and calculations'!$O$75:$O$94</definedName>
    <definedName name="SidesIndexTab">'Standard Configurations'!$S$2:$T$17</definedName>
    <definedName name="SidesTab">'Standard Configurations'!$T$2:$V$17</definedName>
    <definedName name="SpareLouvrePrice">INDIRECT(prefix &amp; "SpareLouvrePrice")</definedName>
    <definedName name="sparelouvres">'Standard Configurations'!$AK$2:$AK$32</definedName>
    <definedName name="ss_BattenPriceTab">'Skylight configuration'!$AK$4:$AL$21</definedName>
    <definedName name="ss_bt">'Skylight configuration'!$AK$4:$AK$17</definedName>
    <definedName name="ss_CFa">'Skylight configuration'!$V$4:$V$5</definedName>
    <definedName name="ss_CFb">'Skylight configuration'!$V$7:$V$11</definedName>
    <definedName name="ss_CFc">'Skylight configuration'!$V$13:$V$18</definedName>
    <definedName name="ss_CFd">'Skylight configuration'!$V$20:$V$23</definedName>
    <definedName name="ss_CFe">'Skylight configuration'!$V$25:$V$29</definedName>
    <definedName name="ss_CFf">'Skylight configuration'!$V$31:$V$33</definedName>
    <definedName name="ss_CFg">'Skylight configuration'!$V$35:$V$37</definedName>
    <definedName name="ss_CL">'Skylight configuration'!$H$4:$H$9</definedName>
    <definedName name="ss_CLa">'Skylight configuration'!$V$4:$V$5</definedName>
    <definedName name="ss_CLb">'Skylight configuration'!$V$7:$V$11</definedName>
    <definedName name="ss_ColourPriceTab">'Skylight configuration'!$H$3:$I$9</definedName>
    <definedName name="ss_GlossPriceTab">'Skylight configuration'!$AI$4:$AJ$6</definedName>
    <definedName name="ss_laths">'Standard Configurations'!$AK$2:$AK$32</definedName>
    <definedName name="ss_lv">'Skylight configuration'!$D$4:$D$5</definedName>
    <definedName name="ss_lvTransTab">'Skylight configuration'!$D$4:$F$5</definedName>
    <definedName name="ss_M_T">'Skylight configuration'!$N$4:$N$27</definedName>
    <definedName name="ss_M_T_PriceTab">'Skylight configuration'!$N$4:$S$43</definedName>
    <definedName name="ss_ShapePriceTab">'Skylight configuration'!$N$4:$S$43</definedName>
    <definedName name="SSFormType">'Standard Configurations'!$J$3:$K$3</definedName>
    <definedName name="StandardShapes">'Standard Configurations'!$AB$2:$AE$81</definedName>
    <definedName name="StdBattens">'Sumatra Panel configuration'!$AG$4:$AG$16</definedName>
    <definedName name="sub_total">'Pricing and calculations'!$P$52</definedName>
    <definedName name="SwatchColours">'Purchase Order SCRAFT'!$AB$27</definedName>
    <definedName name="Tilt_All">'Standard Configurations'!$A$2:$A$4</definedName>
    <definedName name="Tilt_No">'Standard Configurations'!$A$5</definedName>
    <definedName name="Tilt_Opt">'Standard Configurations'!$A$3:$A$5</definedName>
    <definedName name="Tilt_rod_options">INDIRECT("tilt_" &amp; VLOOKUP('Purchase Order SCRAFT'!XFC1,LvTransTab,3,FALSE))</definedName>
    <definedName name="Tilt_S">'Standard Configurations'!$A$2</definedName>
    <definedName name="Tilt_T">'Standard Configurations'!$A$3:$A$4</definedName>
    <definedName name="TiltRodPriceTab">'Standard Configurations'!$A$2:$B$5</definedName>
    <definedName name="Title">EDR!$G$1</definedName>
    <definedName name="Total_Value">'Purchase Order SCRAFT'!$AA$83</definedName>
    <definedName name="TotalEDRValue">EDR!$H$55</definedName>
    <definedName name="TotCuM">'Pricing and calculations'!$M$58</definedName>
    <definedName name="TotSqM">'Purchase Order SCRAFT'!$G$27</definedName>
    <definedName name="TPostPriceTab">INDIRECT(prefix &amp; "TPostPriceTab")</definedName>
    <definedName name="TPosts">IF(Form_Type ="OP","",IF(AND(prefix="co_", TODAY()&lt;40452),co_TPostsOld,INDIRECT(prefix &amp; "Tposts")))</definedName>
    <definedName name="tr">INDIRECT(prefix &amp; "tr")</definedName>
    <definedName name="VAT">'Pricing and calculations'!$P$58</definedName>
    <definedName name="VAT_rate">'Pricing and calculations'!$J$1</definedName>
    <definedName name="VAT_Text">'Purchase Order SCRAFT'!$Z$82</definedName>
    <definedName name="Version">'Purchase Order SCRAFT'!$AA$5</definedName>
    <definedName name="wood_type">'Pricing and calculations'!$Q$35</definedName>
    <definedName name="Wood_type_tab">'Standard Configurations'!$F$2:$G$13</definedName>
    <definedName name="WoodTypeDiscTab">'Standard Configurations'!$F$2:$I$9</definedName>
    <definedName name="Woodtypes">'Standard Configurations'!$F$2:$F$9</definedName>
    <definedName name="WoodTypesOld">'Standard Configurations'!$F$4:$F$7</definedName>
    <definedName name="YN">'Standard Configurations'!$AF$2:$AF$3</definedName>
    <definedName name="Z_554C7132_FEB4_4016_AC1F_AA27B41C0DFC_.wvu.Cols" localSheetId="3" hidden="1">EDR!$J:$R</definedName>
    <definedName name="Z_554C7132_FEB4_4016_AC1F_AA27B41C0DFC_.wvu.FilterData" localSheetId="1" hidden="1">'Installation Spec'!$A$5:$AB$77</definedName>
    <definedName name="Z_554C7132_FEB4_4016_AC1F_AA27B41C0DFC_.wvu.FilterData" localSheetId="0" hidden="1">'Purchase Order SCRAFT'!$A$5:$AB$77</definedName>
    <definedName name="Z_554C7132_FEB4_4016_AC1F_AA27B41C0DFC_.wvu.PrintArea" localSheetId="1" hidden="1">'Installation Spec'!$A$1:$AB$62</definedName>
    <definedName name="Z_554C7132_FEB4_4016_AC1F_AA27B41C0DFC_.wvu.PrintArea" localSheetId="15" hidden="1">'Larchwood configuration'!$AC$2:$AD$15</definedName>
    <definedName name="Z_554C7132_FEB4_4016_AC1F_AA27B41C0DFC_.wvu.PrintArea" localSheetId="0" hidden="1">'Purchase Order SCRAFT'!$A$1:$AB$62</definedName>
  </definedNames>
  <calcPr calcId="179021"/>
  <customWorkbookViews>
    <customWorkbookView name="Temp - Personal View" guid="{554C7132-FEB4-4016-AC1F-AA27B41C0DFC}" mergeInterval="0" personalView="1" maximized="1" windowWidth="1276" windowHeight="770" tabRatio="900" activeSheetId="11"/>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2" i="5" l="1"/>
  <c r="Q35" i="4"/>
  <c r="Q38" i="4" s="1"/>
  <c r="I27" i="4" a="1"/>
  <c r="I27" i="4" s="1"/>
  <c r="M27" i="1" s="1"/>
  <c r="J27" i="4" s="1"/>
  <c r="C7" i="4"/>
  <c r="C10" i="4"/>
  <c r="F78" i="4"/>
  <c r="L78" i="4" s="1"/>
  <c r="G78" i="4"/>
  <c r="V78" i="4"/>
  <c r="O10" i="4"/>
  <c r="C11" i="4"/>
  <c r="F79" i="4"/>
  <c r="G79" i="4"/>
  <c r="L79" i="4"/>
  <c r="V79" i="4"/>
  <c r="O11" i="4"/>
  <c r="C12" i="4"/>
  <c r="L80" i="4"/>
  <c r="V80" i="4"/>
  <c r="O12" i="4"/>
  <c r="J12" i="4"/>
  <c r="C14" i="4"/>
  <c r="F82" i="4"/>
  <c r="L82" i="4" s="1"/>
  <c r="G82" i="4"/>
  <c r="V82" i="4"/>
  <c r="O14" i="4"/>
  <c r="J14" i="4"/>
  <c r="C18" i="4"/>
  <c r="Q18" i="4" s="1"/>
  <c r="D18" i="4"/>
  <c r="G18" i="4"/>
  <c r="H18" i="4"/>
  <c r="M18" i="4"/>
  <c r="V86" i="4"/>
  <c r="O18" i="4"/>
  <c r="J18" i="4"/>
  <c r="F21" i="1"/>
  <c r="G21" i="1"/>
  <c r="G21" i="18" s="1"/>
  <c r="F22" i="1"/>
  <c r="G22" i="1"/>
  <c r="F23" i="1"/>
  <c r="G23" i="1"/>
  <c r="Q91" i="4" s="1"/>
  <c r="F24" i="1"/>
  <c r="G24" i="1"/>
  <c r="F25" i="1"/>
  <c r="G25" i="1"/>
  <c r="F26" i="1"/>
  <c r="G26" i="1"/>
  <c r="C26" i="4"/>
  <c r="Q26" i="4"/>
  <c r="W26" i="4" s="1"/>
  <c r="L31" i="4"/>
  <c r="G31" i="4"/>
  <c r="L32" i="4"/>
  <c r="G32" i="4"/>
  <c r="L33" i="4"/>
  <c r="G33" i="4"/>
  <c r="F34" i="4"/>
  <c r="J34" i="4" s="1"/>
  <c r="K34" i="4"/>
  <c r="M34" i="4" s="1"/>
  <c r="L34" i="4"/>
  <c r="G34" i="4"/>
  <c r="F35" i="4"/>
  <c r="J35" i="4"/>
  <c r="K35" i="4" s="1"/>
  <c r="M35" i="4" s="1"/>
  <c r="L35" i="4"/>
  <c r="G35" i="4"/>
  <c r="F36" i="4"/>
  <c r="J36" i="4" s="1"/>
  <c r="K36" i="4"/>
  <c r="L36" i="4"/>
  <c r="G36" i="4"/>
  <c r="F37" i="4"/>
  <c r="J37" i="4"/>
  <c r="K37" i="4"/>
  <c r="M37" i="4" s="1"/>
  <c r="L37" i="4"/>
  <c r="G37" i="4"/>
  <c r="F38" i="4"/>
  <c r="J38" i="4" s="1"/>
  <c r="K38" i="4"/>
  <c r="M38" i="4" s="1"/>
  <c r="L38" i="4"/>
  <c r="G38" i="4"/>
  <c r="F39" i="4"/>
  <c r="J39" i="4"/>
  <c r="K39" i="4" s="1"/>
  <c r="M39" i="4" s="1"/>
  <c r="L39" i="4"/>
  <c r="G39" i="4"/>
  <c r="F40" i="4"/>
  <c r="J40" i="4" s="1"/>
  <c r="K40" i="4"/>
  <c r="L40" i="4"/>
  <c r="G40" i="4"/>
  <c r="F41" i="4"/>
  <c r="J41" i="4"/>
  <c r="K41" i="4"/>
  <c r="M41" i="4" s="1"/>
  <c r="L41" i="4"/>
  <c r="G41" i="4"/>
  <c r="F42" i="4"/>
  <c r="J42" i="4" s="1"/>
  <c r="K42" i="4"/>
  <c r="M42" i="4" s="1"/>
  <c r="L42" i="4"/>
  <c r="G42" i="4"/>
  <c r="F43" i="4"/>
  <c r="J43" i="4"/>
  <c r="K43" i="4" s="1"/>
  <c r="M43" i="4" s="1"/>
  <c r="L43" i="4"/>
  <c r="G43" i="4"/>
  <c r="F44" i="4"/>
  <c r="J44" i="4" s="1"/>
  <c r="K44" i="4"/>
  <c r="L44" i="4"/>
  <c r="G44" i="4"/>
  <c r="F45" i="4"/>
  <c r="J45" i="4"/>
  <c r="K45" i="4"/>
  <c r="M45" i="4" s="1"/>
  <c r="L45" i="4"/>
  <c r="G45" i="4"/>
  <c r="F46" i="4"/>
  <c r="J46" i="4" s="1"/>
  <c r="K46" i="4"/>
  <c r="M46" i="4" s="1"/>
  <c r="L46" i="4"/>
  <c r="G46" i="4"/>
  <c r="F47" i="4"/>
  <c r="J47" i="4"/>
  <c r="K47" i="4" s="1"/>
  <c r="M47" i="4" s="1"/>
  <c r="L47" i="4"/>
  <c r="G47" i="4"/>
  <c r="F48" i="4"/>
  <c r="J48" i="4" s="1"/>
  <c r="K48" i="4"/>
  <c r="L48" i="4"/>
  <c r="G48" i="4"/>
  <c r="F49" i="4"/>
  <c r="J49" i="4"/>
  <c r="K49" i="4"/>
  <c r="M49" i="4" s="1"/>
  <c r="L49" i="4"/>
  <c r="G49" i="4"/>
  <c r="F50" i="4"/>
  <c r="J50" i="4" s="1"/>
  <c r="K50" i="4"/>
  <c r="M50" i="4" s="1"/>
  <c r="L50" i="4"/>
  <c r="G50" i="4"/>
  <c r="Q36" i="4"/>
  <c r="G27" i="1"/>
  <c r="M54" i="4" s="1"/>
  <c r="N54" i="4" s="1"/>
  <c r="F76" i="4"/>
  <c r="G76" i="4"/>
  <c r="L76" i="4"/>
  <c r="D76" i="4"/>
  <c r="M76" i="4" s="1"/>
  <c r="E76" i="4"/>
  <c r="X56" i="1"/>
  <c r="B8" i="4"/>
  <c r="B76" i="4"/>
  <c r="V8" i="4"/>
  <c r="R76" i="4"/>
  <c r="E54" i="4"/>
  <c r="S76" i="4"/>
  <c r="F77" i="4"/>
  <c r="G77" i="4"/>
  <c r="L77" i="4"/>
  <c r="D77" i="4"/>
  <c r="M77" i="4" s="1"/>
  <c r="S77" i="4" s="1"/>
  <c r="E77" i="4"/>
  <c r="X57" i="1"/>
  <c r="B9" i="4"/>
  <c r="B77" i="4" s="1"/>
  <c r="V9" i="4"/>
  <c r="AA57" i="1" s="1"/>
  <c r="D78" i="4"/>
  <c r="E78" i="4"/>
  <c r="X58" i="1"/>
  <c r="B10" i="4" s="1"/>
  <c r="B78" i="4" s="1"/>
  <c r="V10" i="4"/>
  <c r="R78" i="4"/>
  <c r="D79" i="4"/>
  <c r="E79" i="4"/>
  <c r="M79" i="4"/>
  <c r="P79" i="4" s="1"/>
  <c r="X59" i="1"/>
  <c r="B11" i="4"/>
  <c r="B79" i="4" s="1"/>
  <c r="V11" i="4"/>
  <c r="E80" i="4"/>
  <c r="M80" i="4" s="1"/>
  <c r="P80" i="4" s="1"/>
  <c r="D105" i="4" s="1"/>
  <c r="E105" i="4" s="1"/>
  <c r="X60" i="1"/>
  <c r="B12" i="4"/>
  <c r="B80" i="4"/>
  <c r="V12" i="4"/>
  <c r="R80" i="4"/>
  <c r="L81" i="4"/>
  <c r="E81" i="4"/>
  <c r="M81" i="4" s="1"/>
  <c r="X61" i="1"/>
  <c r="B59" i="4" s="1"/>
  <c r="B13" i="4"/>
  <c r="B81" i="4"/>
  <c r="V13" i="4"/>
  <c r="R81" i="4"/>
  <c r="D82" i="4"/>
  <c r="M82" i="4" s="1"/>
  <c r="E82" i="4"/>
  <c r="X62" i="1"/>
  <c r="B14" i="4"/>
  <c r="V14" i="4"/>
  <c r="F83" i="4"/>
  <c r="G83" i="4"/>
  <c r="L83" i="4"/>
  <c r="D83" i="4"/>
  <c r="E83" i="4"/>
  <c r="X63" i="1"/>
  <c r="B15" i="4" s="1"/>
  <c r="V15" i="4"/>
  <c r="R83" i="4"/>
  <c r="F84" i="4"/>
  <c r="G84" i="4"/>
  <c r="L84" i="4"/>
  <c r="D84" i="4"/>
  <c r="E84" i="4"/>
  <c r="X64" i="1"/>
  <c r="B16" i="4" s="1"/>
  <c r="V16" i="4"/>
  <c r="R84" i="4"/>
  <c r="F85" i="4"/>
  <c r="G85" i="4"/>
  <c r="L85" i="4"/>
  <c r="D85" i="4"/>
  <c r="E85" i="4"/>
  <c r="X65" i="1"/>
  <c r="B17" i="4" s="1"/>
  <c r="V17" i="4"/>
  <c r="AA65" i="1" s="1"/>
  <c r="R85" i="4"/>
  <c r="F86" i="4"/>
  <c r="G86" i="4"/>
  <c r="L86" i="4" s="1"/>
  <c r="D86" i="4"/>
  <c r="E86" i="4"/>
  <c r="X66" i="1"/>
  <c r="V18" i="4"/>
  <c r="R86" i="4"/>
  <c r="F87" i="4"/>
  <c r="G87" i="4"/>
  <c r="D87" i="4"/>
  <c r="E87" i="4"/>
  <c r="M87" i="4" s="1"/>
  <c r="X67" i="1"/>
  <c r="B19" i="4" s="1"/>
  <c r="B87" i="4" s="1"/>
  <c r="V19" i="4"/>
  <c r="R87" i="4"/>
  <c r="F88" i="4"/>
  <c r="L88" i="4" s="1"/>
  <c r="G88" i="4"/>
  <c r="D88" i="4"/>
  <c r="E88" i="4"/>
  <c r="X68" i="1"/>
  <c r="B20" i="4"/>
  <c r="B88" i="4" s="1"/>
  <c r="V20" i="4"/>
  <c r="R88" i="4"/>
  <c r="F89" i="4"/>
  <c r="G89" i="4"/>
  <c r="L89" i="4"/>
  <c r="D89" i="4"/>
  <c r="M89" i="4" s="1"/>
  <c r="E89" i="4"/>
  <c r="X69" i="1"/>
  <c r="B21" i="4"/>
  <c r="B89" i="4" s="1"/>
  <c r="V21" i="4"/>
  <c r="F90" i="4"/>
  <c r="L90" i="4" s="1"/>
  <c r="G90" i="4"/>
  <c r="D90" i="4"/>
  <c r="E90" i="4"/>
  <c r="X70" i="1"/>
  <c r="V22" i="4"/>
  <c r="F91" i="4"/>
  <c r="G91" i="4"/>
  <c r="D91" i="4"/>
  <c r="E91" i="4"/>
  <c r="N91" i="4" s="1"/>
  <c r="X71" i="1"/>
  <c r="B23" i="4"/>
  <c r="B91" i="4"/>
  <c r="V23" i="4"/>
  <c r="F92" i="4"/>
  <c r="G92" i="4"/>
  <c r="L92" i="4"/>
  <c r="D92" i="4"/>
  <c r="E92" i="4"/>
  <c r="M92" i="4"/>
  <c r="X72" i="1"/>
  <c r="V24" i="4"/>
  <c r="F93" i="4"/>
  <c r="G93" i="4"/>
  <c r="L93" i="4"/>
  <c r="D93" i="4"/>
  <c r="M93" i="4" s="1"/>
  <c r="E93" i="4"/>
  <c r="X73" i="1"/>
  <c r="B25" i="4"/>
  <c r="B93" i="4" s="1"/>
  <c r="V25" i="4"/>
  <c r="F94" i="4"/>
  <c r="G94" i="4"/>
  <c r="L94" i="4"/>
  <c r="D94" i="4"/>
  <c r="E94" i="4"/>
  <c r="X74" i="1"/>
  <c r="B26" i="4"/>
  <c r="B94" i="4" s="1"/>
  <c r="V26" i="4"/>
  <c r="F75" i="4"/>
  <c r="L75" i="4" s="1"/>
  <c r="G75" i="4"/>
  <c r="D75" i="4"/>
  <c r="E75" i="4"/>
  <c r="M75" i="4"/>
  <c r="X55" i="1"/>
  <c r="B7" i="4"/>
  <c r="B75" i="4"/>
  <c r="V7" i="4"/>
  <c r="F53" i="4" s="1"/>
  <c r="V76" i="4"/>
  <c r="V77" i="4"/>
  <c r="V81" i="4"/>
  <c r="V83" i="4"/>
  <c r="V84" i="4"/>
  <c r="V85" i="4"/>
  <c r="V87" i="4"/>
  <c r="V88" i="4"/>
  <c r="V89" i="4"/>
  <c r="V90" i="4"/>
  <c r="V91" i="4"/>
  <c r="V92" i="4"/>
  <c r="V93" i="4"/>
  <c r="V94" i="4"/>
  <c r="V75" i="4"/>
  <c r="O5" i="1"/>
  <c r="P7" i="18"/>
  <c r="P8" i="18"/>
  <c r="P9" i="18"/>
  <c r="P10" i="18"/>
  <c r="P11" i="18"/>
  <c r="P12" i="18"/>
  <c r="P13" i="18"/>
  <c r="P14" i="18"/>
  <c r="P15" i="18"/>
  <c r="P16" i="18"/>
  <c r="P17" i="18"/>
  <c r="P18" i="18"/>
  <c r="P19" i="18"/>
  <c r="P20" i="18"/>
  <c r="P21" i="18"/>
  <c r="P22" i="18"/>
  <c r="P23" i="18"/>
  <c r="P24" i="18"/>
  <c r="P25" i="18"/>
  <c r="P26" i="18"/>
  <c r="H34" i="4"/>
  <c r="H35" i="4"/>
  <c r="H36" i="4"/>
  <c r="H37" i="4"/>
  <c r="H38" i="4"/>
  <c r="H39" i="4"/>
  <c r="H40" i="4"/>
  <c r="H41" i="4"/>
  <c r="H42" i="4"/>
  <c r="H43" i="4"/>
  <c r="H44" i="4"/>
  <c r="H45" i="4"/>
  <c r="H46" i="4"/>
  <c r="H47" i="4"/>
  <c r="H48" i="4"/>
  <c r="H49" i="4"/>
  <c r="H50" i="4"/>
  <c r="F6" i="15"/>
  <c r="F36" i="15"/>
  <c r="E36" i="15"/>
  <c r="F31" i="15"/>
  <c r="E31" i="15"/>
  <c r="W21" i="22"/>
  <c r="W20" i="22"/>
  <c r="B5" i="22"/>
  <c r="B6" i="22"/>
  <c r="B7" i="22"/>
  <c r="B8" i="22" s="1"/>
  <c r="B9" i="22"/>
  <c r="B10" i="22" s="1"/>
  <c r="B11" i="22" s="1"/>
  <c r="B12" i="22" s="1"/>
  <c r="B13" i="22" s="1"/>
  <c r="B14" i="22"/>
  <c r="B15" i="22" s="1"/>
  <c r="W21" i="21"/>
  <c r="W20" i="21"/>
  <c r="AO5" i="21"/>
  <c r="AN5" i="21"/>
  <c r="AM5" i="21"/>
  <c r="B5" i="21"/>
  <c r="B6" i="21"/>
  <c r="B7" i="21"/>
  <c r="B8" i="21" s="1"/>
  <c r="B9" i="21" s="1"/>
  <c r="B10" i="21" s="1"/>
  <c r="B11" i="21" s="1"/>
  <c r="B12" i="21" s="1"/>
  <c r="B13" i="21" s="1"/>
  <c r="B14" i="21" s="1"/>
  <c r="B15" i="21" s="1"/>
  <c r="W21" i="20"/>
  <c r="W20" i="20"/>
  <c r="B5" i="20"/>
  <c r="B6" i="20"/>
  <c r="B7" i="20" s="1"/>
  <c r="B8" i="20"/>
  <c r="B9" i="20"/>
  <c r="B10" i="20" s="1"/>
  <c r="B11" i="20" s="1"/>
  <c r="B12" i="20" s="1"/>
  <c r="B13" i="20" s="1"/>
  <c r="B14" i="20" s="1"/>
  <c r="B15" i="20" s="1"/>
  <c r="E35" i="14"/>
  <c r="E38" i="14"/>
  <c r="D21" i="4"/>
  <c r="D22" i="4"/>
  <c r="D23" i="4"/>
  <c r="D24" i="4"/>
  <c r="D25" i="4"/>
  <c r="D26" i="4"/>
  <c r="I53" i="4"/>
  <c r="I54" i="4"/>
  <c r="I55" i="4"/>
  <c r="I56" i="4"/>
  <c r="I57" i="4"/>
  <c r="I58" i="4"/>
  <c r="I59" i="4"/>
  <c r="I60" i="4"/>
  <c r="I61" i="4"/>
  <c r="I62" i="4"/>
  <c r="I63" i="4"/>
  <c r="I64" i="4"/>
  <c r="I65" i="4"/>
  <c r="I66" i="4"/>
  <c r="I67" i="4"/>
  <c r="I68" i="4"/>
  <c r="I69" i="4"/>
  <c r="I70" i="4"/>
  <c r="I71" i="4"/>
  <c r="I72" i="4"/>
  <c r="G1" i="18"/>
  <c r="G3" i="18"/>
  <c r="S3" i="18"/>
  <c r="S1" i="18"/>
  <c r="M3" i="18"/>
  <c r="M1" i="18"/>
  <c r="AA5" i="18"/>
  <c r="O7" i="4"/>
  <c r="AI8" i="18"/>
  <c r="AI9" i="18"/>
  <c r="AI10" i="18"/>
  <c r="AI11" i="18"/>
  <c r="AI12" i="18"/>
  <c r="AI13" i="18"/>
  <c r="AI14" i="18"/>
  <c r="AI15" i="18"/>
  <c r="AI16" i="18"/>
  <c r="AI17" i="18"/>
  <c r="AI18" i="18"/>
  <c r="AI19" i="18"/>
  <c r="AI20" i="18"/>
  <c r="AI21" i="18"/>
  <c r="AI22" i="18"/>
  <c r="AI23" i="18"/>
  <c r="AI24" i="18"/>
  <c r="AI25" i="18"/>
  <c r="AI26" i="18"/>
  <c r="AI7" i="18"/>
  <c r="R84" i="18"/>
  <c r="Q84" i="18"/>
  <c r="P84" i="18"/>
  <c r="R83" i="18"/>
  <c r="Q83" i="18"/>
  <c r="P83" i="18"/>
  <c r="R82" i="18"/>
  <c r="Q82" i="18"/>
  <c r="P82" i="18"/>
  <c r="R81" i="18"/>
  <c r="Q81" i="18"/>
  <c r="P81" i="18"/>
  <c r="R80" i="18"/>
  <c r="Q80" i="18"/>
  <c r="P80" i="18"/>
  <c r="R79" i="18"/>
  <c r="Q79" i="18"/>
  <c r="O84" i="18"/>
  <c r="N84" i="18"/>
  <c r="M84" i="18"/>
  <c r="O83" i="18"/>
  <c r="N83" i="18"/>
  <c r="M83" i="18"/>
  <c r="O82" i="18"/>
  <c r="N82" i="18"/>
  <c r="M82" i="18"/>
  <c r="O81" i="18"/>
  <c r="N81" i="18"/>
  <c r="M81" i="18"/>
  <c r="O80" i="18"/>
  <c r="N80" i="18"/>
  <c r="M80" i="18"/>
  <c r="O79" i="18"/>
  <c r="N79" i="18"/>
  <c r="L84" i="18"/>
  <c r="K84" i="18"/>
  <c r="J84" i="18"/>
  <c r="I84" i="18"/>
  <c r="H84" i="18"/>
  <c r="G84" i="18"/>
  <c r="F84" i="18"/>
  <c r="E84" i="18"/>
  <c r="D84" i="18"/>
  <c r="C84" i="18"/>
  <c r="B84" i="18"/>
  <c r="L83" i="18"/>
  <c r="K83" i="18"/>
  <c r="J83" i="18"/>
  <c r="I83" i="18"/>
  <c r="H83" i="18"/>
  <c r="G83" i="18"/>
  <c r="F83" i="18"/>
  <c r="E83" i="18"/>
  <c r="D83" i="18"/>
  <c r="C83" i="18"/>
  <c r="B83" i="18"/>
  <c r="L82" i="18"/>
  <c r="K82" i="18"/>
  <c r="J82" i="18"/>
  <c r="I82" i="18"/>
  <c r="H82" i="18"/>
  <c r="G82" i="18"/>
  <c r="F82" i="18"/>
  <c r="E82" i="18"/>
  <c r="D82" i="18"/>
  <c r="C82" i="18"/>
  <c r="B82" i="18"/>
  <c r="L81" i="18"/>
  <c r="K81" i="18"/>
  <c r="J81" i="18"/>
  <c r="I81" i="18"/>
  <c r="H81" i="18"/>
  <c r="G81" i="18"/>
  <c r="F81" i="18"/>
  <c r="E81" i="18"/>
  <c r="D81" i="18"/>
  <c r="C81" i="18"/>
  <c r="B81" i="18"/>
  <c r="L80" i="18"/>
  <c r="K80" i="18"/>
  <c r="J80" i="18"/>
  <c r="I80" i="18"/>
  <c r="H80" i="18"/>
  <c r="G80" i="18"/>
  <c r="F80" i="18"/>
  <c r="E80" i="18"/>
  <c r="D80" i="18"/>
  <c r="C80" i="18"/>
  <c r="B80" i="18"/>
  <c r="L79" i="18"/>
  <c r="K79" i="18"/>
  <c r="J79" i="18"/>
  <c r="I79" i="18"/>
  <c r="H79" i="18"/>
  <c r="G79" i="18"/>
  <c r="F79" i="18"/>
  <c r="E79" i="18"/>
  <c r="D79" i="18"/>
  <c r="C79" i="18"/>
  <c r="B79" i="18"/>
  <c r="S74" i="18"/>
  <c r="R74" i="18"/>
  <c r="Q74" i="18"/>
  <c r="P74" i="18"/>
  <c r="O74" i="18"/>
  <c r="N74" i="18"/>
  <c r="M74" i="18"/>
  <c r="S73" i="18"/>
  <c r="R73" i="18"/>
  <c r="Q73" i="18"/>
  <c r="P73" i="18"/>
  <c r="O73" i="18"/>
  <c r="N73" i="18"/>
  <c r="M73" i="18"/>
  <c r="S72" i="18"/>
  <c r="R72" i="18"/>
  <c r="Q72" i="18"/>
  <c r="P72" i="18"/>
  <c r="O72" i="18"/>
  <c r="N72" i="18"/>
  <c r="M72" i="18"/>
  <c r="S71" i="18"/>
  <c r="R71" i="18"/>
  <c r="Q71" i="18"/>
  <c r="P71" i="18"/>
  <c r="O71" i="18"/>
  <c r="N71" i="18"/>
  <c r="M71" i="18"/>
  <c r="S70" i="18"/>
  <c r="R70" i="18"/>
  <c r="Q70" i="18"/>
  <c r="P70" i="18"/>
  <c r="O70" i="18"/>
  <c r="N70" i="18"/>
  <c r="M70" i="18"/>
  <c r="S69" i="18"/>
  <c r="R69" i="18"/>
  <c r="Q69" i="18"/>
  <c r="P69" i="18"/>
  <c r="O69" i="18"/>
  <c r="N69" i="18"/>
  <c r="M69" i="18"/>
  <c r="S68" i="18"/>
  <c r="R68" i="18"/>
  <c r="Q68" i="18"/>
  <c r="P68" i="18"/>
  <c r="O68" i="18"/>
  <c r="N68" i="18"/>
  <c r="M68" i="18"/>
  <c r="S67" i="18"/>
  <c r="R67" i="18"/>
  <c r="Q67" i="18"/>
  <c r="P67" i="18"/>
  <c r="O67" i="18"/>
  <c r="N67" i="18"/>
  <c r="M67" i="18"/>
  <c r="S66" i="18"/>
  <c r="R66" i="18"/>
  <c r="Q66" i="18"/>
  <c r="P66" i="18"/>
  <c r="O66" i="18"/>
  <c r="N66" i="18"/>
  <c r="M66" i="18"/>
  <c r="S65" i="18"/>
  <c r="R65" i="18"/>
  <c r="Q65" i="18"/>
  <c r="P65" i="18"/>
  <c r="O65" i="18"/>
  <c r="N65" i="18"/>
  <c r="M65" i="18"/>
  <c r="S64" i="18"/>
  <c r="R64" i="18"/>
  <c r="Q64" i="18"/>
  <c r="P64" i="18"/>
  <c r="O64" i="18"/>
  <c r="N64" i="18"/>
  <c r="M64" i="18"/>
  <c r="S63" i="18"/>
  <c r="R63" i="18"/>
  <c r="Q63" i="18"/>
  <c r="P63" i="18"/>
  <c r="O63" i="18"/>
  <c r="N63" i="18"/>
  <c r="M63" i="18"/>
  <c r="S62" i="18"/>
  <c r="R62" i="18"/>
  <c r="Q62" i="18"/>
  <c r="P62" i="18"/>
  <c r="O62" i="18"/>
  <c r="N62" i="18"/>
  <c r="M62" i="18"/>
  <c r="S61" i="18"/>
  <c r="R61" i="18"/>
  <c r="Q61" i="18"/>
  <c r="P61" i="18"/>
  <c r="O61" i="18"/>
  <c r="N61" i="18"/>
  <c r="M61" i="18"/>
  <c r="S60" i="18"/>
  <c r="R60" i="18"/>
  <c r="Q60" i="18"/>
  <c r="P60" i="18"/>
  <c r="O60" i="18"/>
  <c r="N60" i="18"/>
  <c r="M60" i="18"/>
  <c r="S59" i="18"/>
  <c r="R59" i="18"/>
  <c r="Q59" i="18"/>
  <c r="P59" i="18"/>
  <c r="O59" i="18"/>
  <c r="N59" i="18"/>
  <c r="M59" i="18"/>
  <c r="S58" i="18"/>
  <c r="R58" i="18"/>
  <c r="Q58" i="18"/>
  <c r="P58" i="18"/>
  <c r="O58" i="18"/>
  <c r="N58" i="18"/>
  <c r="M58" i="18"/>
  <c r="S57" i="18"/>
  <c r="R57" i="18"/>
  <c r="Q57" i="18"/>
  <c r="P57" i="18"/>
  <c r="O57" i="18"/>
  <c r="N57" i="18"/>
  <c r="M57" i="18"/>
  <c r="S56" i="18"/>
  <c r="R56" i="18"/>
  <c r="Q56" i="18"/>
  <c r="P56" i="18"/>
  <c r="O56" i="18"/>
  <c r="N56" i="18"/>
  <c r="M56" i="18"/>
  <c r="S55" i="18"/>
  <c r="R55" i="18"/>
  <c r="Q55" i="18"/>
  <c r="P55" i="18"/>
  <c r="O55" i="18"/>
  <c r="N55" i="18"/>
  <c r="M55" i="18"/>
  <c r="F74" i="18"/>
  <c r="E74" i="18"/>
  <c r="F73" i="18"/>
  <c r="E73" i="18"/>
  <c r="F72" i="18"/>
  <c r="E72" i="18"/>
  <c r="F71" i="18"/>
  <c r="E71" i="18"/>
  <c r="F70" i="18"/>
  <c r="E70" i="18"/>
  <c r="F69" i="18"/>
  <c r="E69" i="18"/>
  <c r="F68" i="18"/>
  <c r="E68" i="18"/>
  <c r="F67" i="18"/>
  <c r="E67" i="18"/>
  <c r="F66" i="18"/>
  <c r="E66" i="18"/>
  <c r="F65" i="18"/>
  <c r="E65" i="18"/>
  <c r="F64" i="18"/>
  <c r="E64" i="18"/>
  <c r="F63" i="18"/>
  <c r="E63" i="18"/>
  <c r="F62" i="18"/>
  <c r="E62" i="18"/>
  <c r="F61" i="18"/>
  <c r="E61" i="18"/>
  <c r="F60" i="18"/>
  <c r="E60" i="18"/>
  <c r="F59" i="18"/>
  <c r="E59" i="18"/>
  <c r="F58" i="18"/>
  <c r="E58" i="18"/>
  <c r="F57" i="18"/>
  <c r="E57" i="18"/>
  <c r="F56" i="18"/>
  <c r="E56" i="18"/>
  <c r="F55" i="18"/>
  <c r="E55" i="18"/>
  <c r="AE50" i="18"/>
  <c r="AD50" i="18"/>
  <c r="AC50" i="18"/>
  <c r="AB50" i="18"/>
  <c r="AA50" i="18"/>
  <c r="Z50" i="18"/>
  <c r="Y50" i="18"/>
  <c r="X50" i="18"/>
  <c r="W50" i="18"/>
  <c r="V50" i="18"/>
  <c r="U50" i="18"/>
  <c r="T50" i="18"/>
  <c r="S50" i="18"/>
  <c r="R50" i="18"/>
  <c r="Q50" i="18"/>
  <c r="P50" i="18"/>
  <c r="O50" i="18"/>
  <c r="N50" i="18"/>
  <c r="M50" i="18"/>
  <c r="L50" i="18"/>
  <c r="K50" i="18"/>
  <c r="J50" i="18"/>
  <c r="I50" i="18"/>
  <c r="H50" i="18"/>
  <c r="G50" i="18"/>
  <c r="F50" i="18"/>
  <c r="E50" i="18"/>
  <c r="D50" i="18"/>
  <c r="C50" i="18"/>
  <c r="AE49" i="18"/>
  <c r="AD49" i="18"/>
  <c r="AC49" i="18"/>
  <c r="AB49" i="18"/>
  <c r="AA49" i="18"/>
  <c r="Z49" i="18"/>
  <c r="Y49" i="18"/>
  <c r="X49" i="18"/>
  <c r="W49" i="18"/>
  <c r="V49" i="18"/>
  <c r="U49" i="18"/>
  <c r="T49" i="18"/>
  <c r="S49" i="18"/>
  <c r="R49" i="18"/>
  <c r="Q49" i="18"/>
  <c r="P49" i="18"/>
  <c r="O49" i="18"/>
  <c r="N49" i="18"/>
  <c r="M49" i="18"/>
  <c r="L49" i="18"/>
  <c r="K49" i="18"/>
  <c r="J49" i="18"/>
  <c r="I49" i="18"/>
  <c r="H49" i="18"/>
  <c r="G49" i="18"/>
  <c r="F49" i="18"/>
  <c r="E49" i="18"/>
  <c r="D49" i="18"/>
  <c r="C49" i="18"/>
  <c r="AE48" i="18"/>
  <c r="AD48" i="18"/>
  <c r="AC48" i="18"/>
  <c r="AB48" i="18"/>
  <c r="AA48" i="18"/>
  <c r="Z48" i="18"/>
  <c r="Y48" i="18"/>
  <c r="X48" i="18"/>
  <c r="W48" i="18"/>
  <c r="V48" i="18"/>
  <c r="U48" i="18"/>
  <c r="T48" i="18"/>
  <c r="S48" i="18"/>
  <c r="R48" i="18"/>
  <c r="Q48" i="18"/>
  <c r="P48" i="18"/>
  <c r="O48" i="18"/>
  <c r="N48" i="18"/>
  <c r="M48" i="18"/>
  <c r="L48" i="18"/>
  <c r="K48" i="18"/>
  <c r="J48" i="18"/>
  <c r="I48" i="18"/>
  <c r="H48" i="18"/>
  <c r="G48" i="18"/>
  <c r="F48" i="18"/>
  <c r="E48" i="18"/>
  <c r="D48" i="18"/>
  <c r="C48" i="18"/>
  <c r="AE47" i="18"/>
  <c r="AD47" i="18"/>
  <c r="AC47" i="18"/>
  <c r="AB47" i="18"/>
  <c r="AA47" i="18"/>
  <c r="Z47" i="18"/>
  <c r="Y47" i="18"/>
  <c r="X47" i="18"/>
  <c r="W47" i="18"/>
  <c r="V47" i="18"/>
  <c r="U47" i="18"/>
  <c r="T47" i="18"/>
  <c r="S47" i="18"/>
  <c r="R47" i="18"/>
  <c r="Q47" i="18"/>
  <c r="P47" i="18"/>
  <c r="O47" i="18"/>
  <c r="N47" i="18"/>
  <c r="M47" i="18"/>
  <c r="L47" i="18"/>
  <c r="K47" i="18"/>
  <c r="J47" i="18"/>
  <c r="I47" i="18"/>
  <c r="H47" i="18"/>
  <c r="G47" i="18"/>
  <c r="F47" i="18"/>
  <c r="E47" i="18"/>
  <c r="D47" i="18"/>
  <c r="C47" i="18"/>
  <c r="AE46" i="18"/>
  <c r="AD46" i="18"/>
  <c r="AC46" i="18"/>
  <c r="AB46" i="18"/>
  <c r="AA46" i="18"/>
  <c r="Z46" i="18"/>
  <c r="Y46" i="18"/>
  <c r="X46" i="18"/>
  <c r="W46" i="18"/>
  <c r="V46" i="18"/>
  <c r="U46" i="18"/>
  <c r="T46" i="18"/>
  <c r="S46" i="18"/>
  <c r="R46" i="18"/>
  <c r="Q46" i="18"/>
  <c r="P46" i="18"/>
  <c r="O46" i="18"/>
  <c r="N46" i="18"/>
  <c r="M46" i="18"/>
  <c r="L46" i="18"/>
  <c r="K46" i="18"/>
  <c r="J46" i="18"/>
  <c r="I46" i="18"/>
  <c r="H46" i="18"/>
  <c r="G46" i="18"/>
  <c r="F46" i="18"/>
  <c r="E46" i="18"/>
  <c r="D46" i="18"/>
  <c r="C46" i="18"/>
  <c r="AE45" i="18"/>
  <c r="AD45" i="18"/>
  <c r="AC45" i="18"/>
  <c r="AB45" i="18"/>
  <c r="AA45" i="18"/>
  <c r="Z45" i="18"/>
  <c r="Y45" i="18"/>
  <c r="X45" i="18"/>
  <c r="W45" i="18"/>
  <c r="V45" i="18"/>
  <c r="U45" i="18"/>
  <c r="T45" i="18"/>
  <c r="S45" i="18"/>
  <c r="R45" i="18"/>
  <c r="Q45" i="18"/>
  <c r="P45" i="18"/>
  <c r="O45" i="18"/>
  <c r="N45" i="18"/>
  <c r="M45" i="18"/>
  <c r="L45" i="18"/>
  <c r="K45" i="18"/>
  <c r="J45" i="18"/>
  <c r="I45" i="18"/>
  <c r="H45" i="18"/>
  <c r="G45" i="18"/>
  <c r="F45" i="18"/>
  <c r="E45" i="18"/>
  <c r="D45" i="18"/>
  <c r="C45" i="18"/>
  <c r="AE44"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AE41" i="18"/>
  <c r="AD41" i="18"/>
  <c r="AC41" i="18"/>
  <c r="AB41" i="18"/>
  <c r="AA41" i="18"/>
  <c r="Z41" i="18"/>
  <c r="Y41" i="18"/>
  <c r="X41" i="18"/>
  <c r="W41" i="18"/>
  <c r="V41" i="18"/>
  <c r="U41" i="18"/>
  <c r="T41" i="18"/>
  <c r="S41" i="18"/>
  <c r="R41" i="18"/>
  <c r="Q41" i="18"/>
  <c r="P41" i="18"/>
  <c r="O41" i="18"/>
  <c r="N41" i="18"/>
  <c r="M41" i="18"/>
  <c r="L41" i="18"/>
  <c r="K41" i="18"/>
  <c r="J41" i="18"/>
  <c r="I41" i="18"/>
  <c r="H41" i="18"/>
  <c r="G41" i="18"/>
  <c r="F41" i="18"/>
  <c r="E41" i="18"/>
  <c r="D41" i="18"/>
  <c r="C41"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AE39" i="18"/>
  <c r="AD39" i="18"/>
  <c r="AC39" i="18"/>
  <c r="AB39" i="18"/>
  <c r="AA39" i="18"/>
  <c r="Z39" i="18"/>
  <c r="Y39" i="18"/>
  <c r="X39" i="18"/>
  <c r="W39" i="18"/>
  <c r="V39" i="18"/>
  <c r="U39" i="18"/>
  <c r="T39" i="18"/>
  <c r="S39" i="18"/>
  <c r="R39" i="18"/>
  <c r="Q39" i="18"/>
  <c r="P39" i="18"/>
  <c r="O39" i="18"/>
  <c r="N39" i="18"/>
  <c r="M39" i="18"/>
  <c r="L39" i="18"/>
  <c r="K39" i="18"/>
  <c r="J39" i="18"/>
  <c r="I39" i="18"/>
  <c r="H39" i="18"/>
  <c r="G39" i="18"/>
  <c r="F39" i="18"/>
  <c r="E39" i="18"/>
  <c r="D39" i="18"/>
  <c r="C39" i="18"/>
  <c r="AE38" i="18"/>
  <c r="AD38" i="18"/>
  <c r="AC38" i="18"/>
  <c r="AB38" i="18"/>
  <c r="AA38" i="18"/>
  <c r="Z38" i="18"/>
  <c r="Y38" i="18"/>
  <c r="X38" i="18"/>
  <c r="W38" i="18"/>
  <c r="V38" i="18"/>
  <c r="U38" i="18"/>
  <c r="T38" i="18"/>
  <c r="S38" i="18"/>
  <c r="R38" i="18"/>
  <c r="Q38" i="18"/>
  <c r="P38" i="18"/>
  <c r="O38" i="18"/>
  <c r="N38" i="18"/>
  <c r="M38" i="18"/>
  <c r="L38" i="18"/>
  <c r="K38" i="18"/>
  <c r="J38" i="18"/>
  <c r="I38" i="18"/>
  <c r="H38" i="18"/>
  <c r="G38" i="18"/>
  <c r="F38" i="18"/>
  <c r="E38" i="18"/>
  <c r="D38" i="18"/>
  <c r="C38" i="18"/>
  <c r="AE37" i="18"/>
  <c r="AD37" i="18"/>
  <c r="AC37" i="18"/>
  <c r="AB37" i="18"/>
  <c r="AA37" i="18"/>
  <c r="Z37" i="18"/>
  <c r="Y37" i="18"/>
  <c r="X37" i="18"/>
  <c r="W37" i="18"/>
  <c r="V37" i="18"/>
  <c r="U37" i="18"/>
  <c r="T37" i="18"/>
  <c r="S37" i="18"/>
  <c r="R37" i="18"/>
  <c r="Q37" i="18"/>
  <c r="P37" i="18"/>
  <c r="O37" i="18"/>
  <c r="N37" i="18"/>
  <c r="M37" i="18"/>
  <c r="L37" i="18"/>
  <c r="K37" i="18"/>
  <c r="J37" i="18"/>
  <c r="I37" i="18"/>
  <c r="H37" i="18"/>
  <c r="G37" i="18"/>
  <c r="F37" i="18"/>
  <c r="E37" i="18"/>
  <c r="D37" i="18"/>
  <c r="C37" i="18"/>
  <c r="AE36" i="18"/>
  <c r="AD36" i="18"/>
  <c r="AC36" i="18"/>
  <c r="AB36" i="18"/>
  <c r="AA36" i="18"/>
  <c r="Z36" i="18"/>
  <c r="Y36" i="18"/>
  <c r="X36" i="18"/>
  <c r="W36" i="18"/>
  <c r="V36" i="18"/>
  <c r="U36" i="18"/>
  <c r="T36" i="18"/>
  <c r="S36" i="18"/>
  <c r="R36" i="18"/>
  <c r="Q36" i="18"/>
  <c r="P36" i="18"/>
  <c r="O36" i="18"/>
  <c r="N36" i="18"/>
  <c r="M36" i="18"/>
  <c r="L36" i="18"/>
  <c r="K36" i="18"/>
  <c r="J36" i="18"/>
  <c r="I36" i="18"/>
  <c r="H36" i="18"/>
  <c r="G36" i="18"/>
  <c r="F36" i="18"/>
  <c r="E36" i="18"/>
  <c r="D36" i="18"/>
  <c r="C36" i="18"/>
  <c r="AE35" i="18"/>
  <c r="AD35" i="18"/>
  <c r="AC35" i="18"/>
  <c r="AB35" i="18"/>
  <c r="AA35" i="18"/>
  <c r="Z35" i="18"/>
  <c r="Y35" i="18"/>
  <c r="X35" i="18"/>
  <c r="W35" i="18"/>
  <c r="V35" i="18"/>
  <c r="U35" i="18"/>
  <c r="T35" i="18"/>
  <c r="S35" i="18"/>
  <c r="R35" i="18"/>
  <c r="Q35" i="18"/>
  <c r="P35" i="18"/>
  <c r="O35" i="18"/>
  <c r="N35" i="18"/>
  <c r="M35" i="18"/>
  <c r="L35" i="18"/>
  <c r="K35" i="18"/>
  <c r="J35" i="18"/>
  <c r="I35" i="18"/>
  <c r="H35" i="18"/>
  <c r="G35" i="18"/>
  <c r="F35" i="18"/>
  <c r="E35" i="18"/>
  <c r="D35" i="18"/>
  <c r="C35" i="18"/>
  <c r="AE34" i="18"/>
  <c r="AD34" i="18"/>
  <c r="AC34" i="18"/>
  <c r="AB34" i="18"/>
  <c r="AA34" i="18"/>
  <c r="Z34" i="18"/>
  <c r="Y34" i="18"/>
  <c r="X34" i="18"/>
  <c r="W34" i="18"/>
  <c r="V34" i="18"/>
  <c r="U34" i="18"/>
  <c r="T34" i="18"/>
  <c r="S34" i="18"/>
  <c r="R34" i="18"/>
  <c r="Q34" i="18"/>
  <c r="P34" i="18"/>
  <c r="O34" i="18"/>
  <c r="N34" i="18"/>
  <c r="M34" i="18"/>
  <c r="L34" i="18"/>
  <c r="K34" i="18"/>
  <c r="J34" i="18"/>
  <c r="I34" i="18"/>
  <c r="H34" i="18"/>
  <c r="G34" i="18"/>
  <c r="F34" i="18"/>
  <c r="E34" i="18"/>
  <c r="D34" i="18"/>
  <c r="C34" i="18"/>
  <c r="AE33" i="18"/>
  <c r="AD33" i="18"/>
  <c r="AC33" i="18"/>
  <c r="AB33" i="18"/>
  <c r="AA33" i="18"/>
  <c r="Z33" i="18"/>
  <c r="Y33" i="18"/>
  <c r="X33" i="18"/>
  <c r="W33" i="18"/>
  <c r="V33" i="18"/>
  <c r="U33" i="18"/>
  <c r="T33" i="18"/>
  <c r="S33" i="18"/>
  <c r="R33" i="18"/>
  <c r="Q33" i="18"/>
  <c r="P33" i="18"/>
  <c r="O33" i="18"/>
  <c r="N33" i="18"/>
  <c r="M33" i="18"/>
  <c r="L33" i="18"/>
  <c r="K33" i="18"/>
  <c r="J33" i="18"/>
  <c r="I33" i="18"/>
  <c r="H33" i="18"/>
  <c r="G33" i="18"/>
  <c r="F33" i="18"/>
  <c r="E33" i="18"/>
  <c r="D33" i="18"/>
  <c r="C33" i="18"/>
  <c r="AE32" i="18"/>
  <c r="AD32" i="18"/>
  <c r="AC32" i="18"/>
  <c r="AB32" i="18"/>
  <c r="AA32" i="18"/>
  <c r="Z32" i="18"/>
  <c r="Y32" i="18"/>
  <c r="X32" i="18"/>
  <c r="W32" i="18"/>
  <c r="V32" i="18"/>
  <c r="U32" i="18"/>
  <c r="T32" i="18"/>
  <c r="S32" i="18"/>
  <c r="R32" i="18"/>
  <c r="Q32" i="18"/>
  <c r="P32" i="18"/>
  <c r="O32" i="18"/>
  <c r="N32" i="18"/>
  <c r="M32" i="18"/>
  <c r="L32" i="18"/>
  <c r="K32" i="18"/>
  <c r="J32" i="18"/>
  <c r="I32" i="18"/>
  <c r="H32" i="18"/>
  <c r="G32" i="18"/>
  <c r="F32" i="18"/>
  <c r="E32" i="18"/>
  <c r="D32" i="18"/>
  <c r="C32"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F31" i="18"/>
  <c r="E31" i="18"/>
  <c r="D31" i="18"/>
  <c r="C31" i="18"/>
  <c r="Q27" i="18"/>
  <c r="Z27" i="18"/>
  <c r="AB27" i="18"/>
  <c r="AH26" i="18"/>
  <c r="AG26" i="18"/>
  <c r="AF26" i="18"/>
  <c r="AE26" i="18"/>
  <c r="AD26" i="18"/>
  <c r="AC26" i="18"/>
  <c r="AB26" i="18"/>
  <c r="AA26" i="18"/>
  <c r="Z26" i="18"/>
  <c r="Y26" i="18"/>
  <c r="AH25" i="18"/>
  <c r="AG25" i="18"/>
  <c r="AF25" i="18"/>
  <c r="AE25" i="18"/>
  <c r="AD25" i="18"/>
  <c r="AC25" i="18"/>
  <c r="AB25" i="18"/>
  <c r="AA25" i="18"/>
  <c r="Z25" i="18"/>
  <c r="Y25" i="18"/>
  <c r="AH24" i="18"/>
  <c r="AG24" i="18"/>
  <c r="AF24" i="18"/>
  <c r="AE24" i="18"/>
  <c r="AD24" i="18"/>
  <c r="AC24" i="18"/>
  <c r="AB24" i="18"/>
  <c r="AA24" i="18"/>
  <c r="Z24" i="18"/>
  <c r="Y24" i="18"/>
  <c r="AH23" i="18"/>
  <c r="AG23" i="18"/>
  <c r="AF23" i="18"/>
  <c r="AE23" i="18"/>
  <c r="AD23" i="18"/>
  <c r="AC23" i="18"/>
  <c r="AB23" i="18"/>
  <c r="AA23" i="18"/>
  <c r="Z23" i="18"/>
  <c r="Y23" i="18"/>
  <c r="AH22" i="18"/>
  <c r="AG22" i="18"/>
  <c r="AF22" i="18"/>
  <c r="AE22" i="18"/>
  <c r="AD22" i="18"/>
  <c r="AC22" i="18"/>
  <c r="AB22" i="18"/>
  <c r="AA22" i="18"/>
  <c r="Z22" i="18"/>
  <c r="Y22" i="18"/>
  <c r="AH21" i="18"/>
  <c r="AG21" i="18"/>
  <c r="AF21" i="18"/>
  <c r="AE21" i="18"/>
  <c r="AD21" i="18"/>
  <c r="AC21" i="18"/>
  <c r="AB21" i="18"/>
  <c r="AA21" i="18"/>
  <c r="Z21" i="18"/>
  <c r="Y21" i="18"/>
  <c r="AH20" i="18"/>
  <c r="AG20" i="18"/>
  <c r="AF20" i="18"/>
  <c r="AE20" i="18"/>
  <c r="AD20" i="18"/>
  <c r="AC20" i="18"/>
  <c r="AB20" i="18"/>
  <c r="AA20" i="18"/>
  <c r="Z20" i="18"/>
  <c r="Y20" i="18"/>
  <c r="AH19" i="18"/>
  <c r="AG19" i="18"/>
  <c r="AF19" i="18"/>
  <c r="AE19" i="18"/>
  <c r="AD19" i="18"/>
  <c r="AC19" i="18"/>
  <c r="AB19" i="18"/>
  <c r="AA19" i="18"/>
  <c r="Z19" i="18"/>
  <c r="Y19" i="18"/>
  <c r="AH18" i="18"/>
  <c r="AG18" i="18"/>
  <c r="AF18" i="18"/>
  <c r="AE18" i="18"/>
  <c r="AD18" i="18"/>
  <c r="AC18" i="18"/>
  <c r="AB18" i="18"/>
  <c r="AA18" i="18"/>
  <c r="Z18" i="18"/>
  <c r="Y18" i="18"/>
  <c r="AH17" i="18"/>
  <c r="AG17" i="18"/>
  <c r="AF17" i="18"/>
  <c r="AE17" i="18"/>
  <c r="AD17" i="18"/>
  <c r="AC17" i="18"/>
  <c r="AB17" i="18"/>
  <c r="AA17" i="18"/>
  <c r="Z17" i="18"/>
  <c r="Y17" i="18"/>
  <c r="AH16" i="18"/>
  <c r="AG16" i="18"/>
  <c r="AF16" i="18"/>
  <c r="AE16" i="18"/>
  <c r="AD16" i="18"/>
  <c r="AC16" i="18"/>
  <c r="AB16" i="18"/>
  <c r="AA16" i="18"/>
  <c r="Z16" i="18"/>
  <c r="Y16" i="18"/>
  <c r="AH15" i="18"/>
  <c r="AG15" i="18"/>
  <c r="AF15" i="18"/>
  <c r="AE15" i="18"/>
  <c r="AD15" i="18"/>
  <c r="AC15" i="18"/>
  <c r="AB15" i="18"/>
  <c r="AA15" i="18"/>
  <c r="Z15" i="18"/>
  <c r="Y15" i="18"/>
  <c r="AH14" i="18"/>
  <c r="AG14" i="18"/>
  <c r="AF14" i="18"/>
  <c r="AE14" i="18"/>
  <c r="AD14" i="18"/>
  <c r="AC14" i="18"/>
  <c r="AB14" i="18"/>
  <c r="AA14" i="18"/>
  <c r="Z14" i="18"/>
  <c r="Y14" i="18"/>
  <c r="AH13" i="18"/>
  <c r="AG13" i="18"/>
  <c r="AF13" i="18"/>
  <c r="AE13" i="18"/>
  <c r="AD13" i="18"/>
  <c r="AC13" i="18"/>
  <c r="AB13" i="18"/>
  <c r="AA13" i="18"/>
  <c r="Z13" i="18"/>
  <c r="Y13" i="18"/>
  <c r="AH12" i="18"/>
  <c r="AG12" i="18"/>
  <c r="AF12" i="18"/>
  <c r="AE12" i="18"/>
  <c r="AD12" i="18"/>
  <c r="AC12" i="18"/>
  <c r="AB12" i="18"/>
  <c r="AA12" i="18"/>
  <c r="Z12" i="18"/>
  <c r="Y12" i="18"/>
  <c r="AH11" i="18"/>
  <c r="AG11" i="18"/>
  <c r="AF11" i="18"/>
  <c r="AE11" i="18"/>
  <c r="AD11" i="18"/>
  <c r="AC11" i="18"/>
  <c r="AB11" i="18"/>
  <c r="AA11" i="18"/>
  <c r="Z11" i="18"/>
  <c r="Y11" i="18"/>
  <c r="AH10" i="18"/>
  <c r="AG10" i="18"/>
  <c r="AF10" i="18"/>
  <c r="AE10" i="18"/>
  <c r="AD10" i="18"/>
  <c r="AC10" i="18"/>
  <c r="AB10" i="18"/>
  <c r="AA10" i="18"/>
  <c r="Z10" i="18"/>
  <c r="Y10" i="18"/>
  <c r="AH9" i="18"/>
  <c r="AG9" i="18"/>
  <c r="AF9" i="18"/>
  <c r="AE9" i="18"/>
  <c r="AD9" i="18"/>
  <c r="AC9" i="18"/>
  <c r="AB9" i="18"/>
  <c r="AA9" i="18"/>
  <c r="Z9" i="18"/>
  <c r="Y9" i="18"/>
  <c r="AH8" i="18"/>
  <c r="AG8" i="18"/>
  <c r="AF8" i="18"/>
  <c r="AE8" i="18"/>
  <c r="AD8" i="18"/>
  <c r="AC8" i="18"/>
  <c r="AB8" i="18"/>
  <c r="AA8" i="18"/>
  <c r="Z8" i="18"/>
  <c r="Y8" i="18"/>
  <c r="AH7" i="18"/>
  <c r="AG7" i="18"/>
  <c r="AF7" i="18"/>
  <c r="AE7" i="18"/>
  <c r="AD7" i="18"/>
  <c r="AC7" i="18"/>
  <c r="AB7" i="18"/>
  <c r="AA7" i="18"/>
  <c r="Z7" i="18"/>
  <c r="Y7" i="18"/>
  <c r="W26" i="18"/>
  <c r="V26" i="18"/>
  <c r="W25" i="18"/>
  <c r="V25" i="18"/>
  <c r="W24" i="18"/>
  <c r="V24" i="18"/>
  <c r="W23" i="18"/>
  <c r="V23" i="18"/>
  <c r="W22" i="18"/>
  <c r="V22" i="18"/>
  <c r="W21" i="18"/>
  <c r="V21" i="18"/>
  <c r="W20" i="18"/>
  <c r="V20" i="18"/>
  <c r="W19" i="18"/>
  <c r="V19" i="18"/>
  <c r="W18" i="18"/>
  <c r="V18" i="18"/>
  <c r="W17" i="18"/>
  <c r="V17" i="18"/>
  <c r="W16" i="18"/>
  <c r="V16" i="18"/>
  <c r="W15" i="18"/>
  <c r="V15" i="18"/>
  <c r="W14" i="18"/>
  <c r="V14" i="18"/>
  <c r="W13" i="18"/>
  <c r="V13" i="18"/>
  <c r="W12" i="18"/>
  <c r="V12" i="18"/>
  <c r="W11" i="18"/>
  <c r="V11" i="18"/>
  <c r="W10" i="18"/>
  <c r="V10" i="18"/>
  <c r="W9" i="18"/>
  <c r="V9" i="18"/>
  <c r="W8" i="18"/>
  <c r="V8" i="18"/>
  <c r="W7" i="18"/>
  <c r="V7" i="18"/>
  <c r="R26" i="18"/>
  <c r="Q26" i="18"/>
  <c r="O26" i="18"/>
  <c r="N26" i="18"/>
  <c r="M26" i="18"/>
  <c r="L26" i="18"/>
  <c r="R25" i="18"/>
  <c r="Q25" i="18"/>
  <c r="O25" i="18"/>
  <c r="N25" i="18"/>
  <c r="M25" i="18"/>
  <c r="L25" i="18"/>
  <c r="R24" i="18"/>
  <c r="Q24" i="18"/>
  <c r="O24" i="18"/>
  <c r="N24" i="18"/>
  <c r="M24" i="18"/>
  <c r="L24" i="18"/>
  <c r="R23" i="18"/>
  <c r="Q23" i="18"/>
  <c r="O23" i="18"/>
  <c r="N23" i="18"/>
  <c r="M23" i="18"/>
  <c r="L23" i="18"/>
  <c r="R22" i="18"/>
  <c r="Q22" i="18"/>
  <c r="O22" i="18"/>
  <c r="N22" i="18"/>
  <c r="M22" i="18"/>
  <c r="L22" i="18"/>
  <c r="R21" i="18"/>
  <c r="Q21" i="18"/>
  <c r="O21" i="18"/>
  <c r="N21" i="18"/>
  <c r="M21" i="18"/>
  <c r="L21" i="18"/>
  <c r="R20" i="18"/>
  <c r="Q20" i="18"/>
  <c r="O20" i="18"/>
  <c r="N20" i="18"/>
  <c r="M20" i="18"/>
  <c r="L20" i="18"/>
  <c r="R19" i="18"/>
  <c r="Q19" i="18"/>
  <c r="O19" i="18"/>
  <c r="N19" i="18"/>
  <c r="M19" i="18"/>
  <c r="L19" i="18"/>
  <c r="R18" i="18"/>
  <c r="Q18" i="18"/>
  <c r="O18" i="18"/>
  <c r="N18" i="18"/>
  <c r="M18" i="18"/>
  <c r="L18" i="18"/>
  <c r="R17" i="18"/>
  <c r="Q17" i="18"/>
  <c r="O17" i="18"/>
  <c r="N17" i="18"/>
  <c r="M17" i="18"/>
  <c r="L17" i="18"/>
  <c r="R16" i="18"/>
  <c r="Q16" i="18"/>
  <c r="O16" i="18"/>
  <c r="N16" i="18"/>
  <c r="M16" i="18"/>
  <c r="L16" i="18"/>
  <c r="R15" i="18"/>
  <c r="Q15" i="18"/>
  <c r="O15" i="18"/>
  <c r="N15" i="18"/>
  <c r="M15" i="18"/>
  <c r="L15" i="18"/>
  <c r="R14" i="18"/>
  <c r="Q14" i="18"/>
  <c r="O14" i="18"/>
  <c r="N14" i="18"/>
  <c r="M14" i="18"/>
  <c r="L14" i="18"/>
  <c r="R13" i="18"/>
  <c r="Q13" i="18"/>
  <c r="O13" i="18"/>
  <c r="N13" i="18"/>
  <c r="M13" i="18"/>
  <c r="L13" i="18"/>
  <c r="R12" i="18"/>
  <c r="Q12" i="18"/>
  <c r="O12" i="18"/>
  <c r="N12" i="18"/>
  <c r="M12" i="18"/>
  <c r="L12" i="18"/>
  <c r="R11" i="18"/>
  <c r="Q11" i="18"/>
  <c r="O11" i="18"/>
  <c r="N11" i="18"/>
  <c r="M11" i="18"/>
  <c r="L11" i="18"/>
  <c r="R10" i="18"/>
  <c r="Q10" i="18"/>
  <c r="O10" i="18"/>
  <c r="N10" i="18"/>
  <c r="M10" i="18"/>
  <c r="L10" i="18"/>
  <c r="R9" i="18"/>
  <c r="Q9" i="18"/>
  <c r="O9" i="18"/>
  <c r="N9" i="18"/>
  <c r="M9" i="18"/>
  <c r="L9" i="18"/>
  <c r="R8" i="18"/>
  <c r="Q8" i="18"/>
  <c r="O8" i="18"/>
  <c r="N8" i="18"/>
  <c r="M8" i="18"/>
  <c r="L8" i="18"/>
  <c r="R7" i="18"/>
  <c r="Q7" i="18"/>
  <c r="O7" i="18"/>
  <c r="N7" i="18"/>
  <c r="M7" i="18"/>
  <c r="L7" i="18"/>
  <c r="J26" i="18"/>
  <c r="I26" i="18"/>
  <c r="H26" i="18"/>
  <c r="E26" i="18"/>
  <c r="D26" i="18"/>
  <c r="C26" i="18"/>
  <c r="B26" i="18"/>
  <c r="J25" i="18"/>
  <c r="I25" i="18"/>
  <c r="H25" i="18"/>
  <c r="E25" i="18"/>
  <c r="D25" i="18"/>
  <c r="C25" i="18"/>
  <c r="B25" i="18"/>
  <c r="J24" i="18"/>
  <c r="I24" i="18"/>
  <c r="H24" i="18"/>
  <c r="E24" i="18"/>
  <c r="D24" i="18"/>
  <c r="C24" i="18"/>
  <c r="B24" i="18"/>
  <c r="J23" i="18"/>
  <c r="I23" i="18"/>
  <c r="H23" i="18"/>
  <c r="E23" i="18"/>
  <c r="D23" i="18"/>
  <c r="C23" i="18"/>
  <c r="B23" i="18"/>
  <c r="J22" i="18"/>
  <c r="I22" i="18"/>
  <c r="H22" i="18"/>
  <c r="E22" i="18"/>
  <c r="D22" i="18"/>
  <c r="C22" i="18"/>
  <c r="B22" i="18"/>
  <c r="J21" i="18"/>
  <c r="I21" i="18"/>
  <c r="H21" i="18"/>
  <c r="E21" i="18"/>
  <c r="D21" i="18"/>
  <c r="C21" i="18"/>
  <c r="B21" i="18"/>
  <c r="J20" i="18"/>
  <c r="I20" i="18"/>
  <c r="H20" i="18"/>
  <c r="E20" i="18"/>
  <c r="D20" i="18"/>
  <c r="C20" i="18"/>
  <c r="B20" i="18"/>
  <c r="J19" i="18"/>
  <c r="I19" i="18"/>
  <c r="H19" i="18"/>
  <c r="E19" i="18"/>
  <c r="D19" i="18"/>
  <c r="C19" i="18"/>
  <c r="B19" i="18"/>
  <c r="J18" i="18"/>
  <c r="I18" i="18"/>
  <c r="H18" i="18"/>
  <c r="E18" i="18"/>
  <c r="D18" i="18"/>
  <c r="C18" i="18"/>
  <c r="B18" i="18"/>
  <c r="J17" i="18"/>
  <c r="I17" i="18"/>
  <c r="H17" i="18"/>
  <c r="E17" i="18"/>
  <c r="D17" i="18"/>
  <c r="C17" i="18"/>
  <c r="B17" i="18"/>
  <c r="J16" i="18"/>
  <c r="I16" i="18"/>
  <c r="H16" i="18"/>
  <c r="E16" i="18"/>
  <c r="D16" i="18"/>
  <c r="C16" i="18"/>
  <c r="B16" i="18"/>
  <c r="J15" i="18"/>
  <c r="I15" i="18"/>
  <c r="H15" i="18"/>
  <c r="E15" i="18"/>
  <c r="D15" i="18"/>
  <c r="C15" i="18"/>
  <c r="B15" i="18"/>
  <c r="J14" i="18"/>
  <c r="I14" i="18"/>
  <c r="H14" i="18"/>
  <c r="E14" i="18"/>
  <c r="D14" i="18"/>
  <c r="C14" i="18"/>
  <c r="B14" i="18"/>
  <c r="J13" i="18"/>
  <c r="I13" i="18"/>
  <c r="H13" i="18"/>
  <c r="E13" i="18"/>
  <c r="D13" i="18"/>
  <c r="C13" i="18"/>
  <c r="B13" i="18"/>
  <c r="J12" i="18"/>
  <c r="I12" i="18"/>
  <c r="H12" i="18"/>
  <c r="E12" i="18"/>
  <c r="D12" i="18"/>
  <c r="C12" i="18"/>
  <c r="B12" i="18"/>
  <c r="J11" i="18"/>
  <c r="I11" i="18"/>
  <c r="H11" i="18"/>
  <c r="E11" i="18"/>
  <c r="D11" i="18"/>
  <c r="C11" i="18"/>
  <c r="B11" i="18"/>
  <c r="J10" i="18"/>
  <c r="I10" i="18"/>
  <c r="H10" i="18"/>
  <c r="E10" i="18"/>
  <c r="D10" i="18"/>
  <c r="C10" i="18"/>
  <c r="B10" i="18"/>
  <c r="J9" i="18"/>
  <c r="I9" i="18"/>
  <c r="H9" i="18"/>
  <c r="E9" i="18"/>
  <c r="D9" i="18"/>
  <c r="C9" i="18"/>
  <c r="B9" i="18"/>
  <c r="J8" i="18"/>
  <c r="I8" i="18"/>
  <c r="H8" i="18"/>
  <c r="E8" i="18"/>
  <c r="D8" i="18"/>
  <c r="C8" i="18"/>
  <c r="B8" i="18"/>
  <c r="J7" i="18"/>
  <c r="I7" i="18"/>
  <c r="H7" i="18"/>
  <c r="E7" i="18"/>
  <c r="D7" i="18"/>
  <c r="C7" i="18"/>
  <c r="B7" i="18"/>
  <c r="C3" i="18"/>
  <c r="C1" i="18"/>
  <c r="H5" i="18"/>
  <c r="B123" i="4"/>
  <c r="C123" i="4"/>
  <c r="D123" i="4"/>
  <c r="B124" i="4"/>
  <c r="E123" i="4"/>
  <c r="F123" i="4"/>
  <c r="G123" i="4"/>
  <c r="H123" i="4"/>
  <c r="I123" i="4"/>
  <c r="E53" i="4"/>
  <c r="Q75" i="4"/>
  <c r="R77" i="4"/>
  <c r="R79" i="4"/>
  <c r="R89" i="4"/>
  <c r="R90" i="4"/>
  <c r="R91" i="4"/>
  <c r="R92" i="4"/>
  <c r="R93" i="4"/>
  <c r="R94" i="4"/>
  <c r="G21" i="4"/>
  <c r="G22" i="4"/>
  <c r="G23" i="4"/>
  <c r="G24" i="4"/>
  <c r="G25" i="4"/>
  <c r="E55" i="4"/>
  <c r="F55" i="4" s="1"/>
  <c r="G55" i="4" s="1"/>
  <c r="E56" i="4"/>
  <c r="E57" i="4"/>
  <c r="E58" i="4"/>
  <c r="Q80" i="4" s="1"/>
  <c r="E59" i="4"/>
  <c r="Q81" i="4" s="1"/>
  <c r="E60" i="4"/>
  <c r="E61" i="4"/>
  <c r="E62" i="4"/>
  <c r="Q84" i="4" s="1"/>
  <c r="E63" i="4"/>
  <c r="E64" i="4"/>
  <c r="E65" i="4"/>
  <c r="E66" i="4"/>
  <c r="Q88" i="4" s="1"/>
  <c r="E67" i="4"/>
  <c r="E68" i="4"/>
  <c r="E69" i="4"/>
  <c r="E70" i="4"/>
  <c r="Q92" i="4" s="1"/>
  <c r="E71" i="4"/>
  <c r="Q93" i="4" s="1"/>
  <c r="E72" i="4"/>
  <c r="F7" i="18"/>
  <c r="N82" i="4"/>
  <c r="O82" i="4" s="1"/>
  <c r="F54" i="4"/>
  <c r="G54" i="4" s="1"/>
  <c r="F57" i="4"/>
  <c r="G57" i="4" s="1"/>
  <c r="F59" i="4"/>
  <c r="G59" i="4" s="1"/>
  <c r="F60" i="4"/>
  <c r="X14" i="1" s="1"/>
  <c r="G60" i="4"/>
  <c r="F62" i="4"/>
  <c r="G62" i="4" s="1"/>
  <c r="F63" i="4"/>
  <c r="F64" i="4"/>
  <c r="G64" i="4" s="1"/>
  <c r="F65" i="4"/>
  <c r="F66" i="4"/>
  <c r="F67" i="4"/>
  <c r="G67" i="4"/>
  <c r="F68" i="4"/>
  <c r="G68" i="4"/>
  <c r="F69" i="4"/>
  <c r="G69" i="4"/>
  <c r="F70" i="4"/>
  <c r="G70" i="4"/>
  <c r="F71" i="4"/>
  <c r="G71" i="4"/>
  <c r="F72" i="4"/>
  <c r="G72" i="4"/>
  <c r="G8" i="18"/>
  <c r="G10" i="18"/>
  <c r="G12" i="18"/>
  <c r="G13" i="18"/>
  <c r="G14" i="18"/>
  <c r="G15" i="18"/>
  <c r="G17" i="18"/>
  <c r="G18" i="18"/>
  <c r="G22" i="18"/>
  <c r="G24" i="18"/>
  <c r="O15" i="4"/>
  <c r="O16" i="4"/>
  <c r="O20" i="4"/>
  <c r="J9" i="4"/>
  <c r="J10" i="4"/>
  <c r="J11" i="4"/>
  <c r="J13" i="4"/>
  <c r="J15" i="4"/>
  <c r="J16" i="4"/>
  <c r="J17" i="4"/>
  <c r="J19" i="4"/>
  <c r="J20" i="4"/>
  <c r="J21" i="4"/>
  <c r="J22" i="4"/>
  <c r="J23" i="4"/>
  <c r="J24" i="4"/>
  <c r="J25" i="4"/>
  <c r="J26" i="4"/>
  <c r="B5" i="17"/>
  <c r="B6" i="17" s="1"/>
  <c r="B7" i="17" s="1"/>
  <c r="B8" i="17"/>
  <c r="B9" i="17" s="1"/>
  <c r="B10" i="17" s="1"/>
  <c r="B11" i="17" s="1"/>
  <c r="B12" i="17" s="1"/>
  <c r="B13" i="17" s="1"/>
  <c r="B14" i="17" s="1"/>
  <c r="B15" i="17" s="1"/>
  <c r="P79" i="1"/>
  <c r="P79" i="18" s="1"/>
  <c r="H5" i="1"/>
  <c r="T8" i="4"/>
  <c r="T9" i="4"/>
  <c r="T10" i="4"/>
  <c r="T11" i="4"/>
  <c r="T12" i="4"/>
  <c r="T13" i="4"/>
  <c r="T14" i="4"/>
  <c r="T15" i="4"/>
  <c r="T16" i="4"/>
  <c r="T17" i="4"/>
  <c r="T18" i="4"/>
  <c r="T19" i="4"/>
  <c r="T20" i="4"/>
  <c r="T21" i="4"/>
  <c r="T22" i="4"/>
  <c r="T23" i="4"/>
  <c r="T24" i="4"/>
  <c r="T25" i="4"/>
  <c r="T26" i="4"/>
  <c r="T7" i="4"/>
  <c r="T75" i="4"/>
  <c r="E8" i="5"/>
  <c r="M21" i="4"/>
  <c r="M22" i="4"/>
  <c r="M23" i="4"/>
  <c r="M24" i="4"/>
  <c r="M25" i="4"/>
  <c r="M26" i="4"/>
  <c r="E43" i="14"/>
  <c r="E41" i="14"/>
  <c r="E39" i="14"/>
  <c r="E40" i="14"/>
  <c r="E33" i="14"/>
  <c r="E34" i="14"/>
  <c r="E36" i="14"/>
  <c r="E37" i="14"/>
  <c r="E42" i="14"/>
  <c r="E32" i="14"/>
  <c r="E37" i="15"/>
  <c r="E38" i="15"/>
  <c r="F35" i="15"/>
  <c r="E35" i="15"/>
  <c r="E34" i="15"/>
  <c r="E40" i="15"/>
  <c r="E39" i="15"/>
  <c r="E30" i="15"/>
  <c r="E32" i="15"/>
  <c r="E33" i="15"/>
  <c r="E29" i="15"/>
  <c r="F7" i="6"/>
  <c r="F7" i="13"/>
  <c r="F7" i="10"/>
  <c r="M79" i="1"/>
  <c r="M79" i="18"/>
  <c r="F30" i="15"/>
  <c r="F7" i="15"/>
  <c r="F5" i="15"/>
  <c r="B5" i="15"/>
  <c r="B6" i="15" s="1"/>
  <c r="B7" i="15" s="1"/>
  <c r="B8" i="15" s="1"/>
  <c r="B9" i="15" s="1"/>
  <c r="B10" i="15" s="1"/>
  <c r="B11" i="15" s="1"/>
  <c r="B12" i="15" s="1"/>
  <c r="B13" i="15" s="1"/>
  <c r="B14" i="15" s="1"/>
  <c r="B15" i="15" s="1"/>
  <c r="C32" i="4"/>
  <c r="D32" i="4"/>
  <c r="E32" i="4"/>
  <c r="C33" i="4"/>
  <c r="D33" i="4"/>
  <c r="E33" i="4"/>
  <c r="C34" i="4"/>
  <c r="D34" i="4"/>
  <c r="E34" i="4"/>
  <c r="C31" i="4"/>
  <c r="F31" i="4" s="1"/>
  <c r="D31" i="4"/>
  <c r="E31" i="4"/>
  <c r="B5" i="14"/>
  <c r="B6" i="14"/>
  <c r="B7" i="14" s="1"/>
  <c r="B8" i="14" s="1"/>
  <c r="B9" i="14" s="1"/>
  <c r="B10" i="14" s="1"/>
  <c r="B11" i="14" s="1"/>
  <c r="B12" i="14" s="1"/>
  <c r="B13" i="14" s="1"/>
  <c r="B14" i="14" s="1"/>
  <c r="B15" i="14" s="1"/>
  <c r="D35" i="4"/>
  <c r="D36" i="4"/>
  <c r="D37" i="4"/>
  <c r="D38" i="4"/>
  <c r="D39" i="4"/>
  <c r="D40" i="4"/>
  <c r="D41" i="4"/>
  <c r="D42" i="4"/>
  <c r="D43" i="4"/>
  <c r="D44" i="4"/>
  <c r="D45" i="4"/>
  <c r="D46" i="4"/>
  <c r="D47" i="4"/>
  <c r="D48" i="4"/>
  <c r="D49" i="4"/>
  <c r="D50" i="4"/>
  <c r="B54" i="4"/>
  <c r="B5" i="13"/>
  <c r="B6" i="13"/>
  <c r="B7" i="13" s="1"/>
  <c r="B8" i="13" s="1"/>
  <c r="B9" i="13" s="1"/>
  <c r="B10" i="13" s="1"/>
  <c r="B11" i="13" s="1"/>
  <c r="B12" i="13" s="1"/>
  <c r="B13" i="13" s="1"/>
  <c r="B14" i="13" s="1"/>
  <c r="B15" i="13" s="1"/>
  <c r="C35" i="4"/>
  <c r="C36" i="4"/>
  <c r="C37" i="4"/>
  <c r="C38" i="4"/>
  <c r="C39" i="4"/>
  <c r="C40" i="4"/>
  <c r="C41" i="4"/>
  <c r="C42" i="4"/>
  <c r="C43" i="4"/>
  <c r="C44" i="4"/>
  <c r="C45" i="4"/>
  <c r="C46" i="4"/>
  <c r="C47" i="4"/>
  <c r="C48" i="4"/>
  <c r="C49" i="4"/>
  <c r="C50" i="4"/>
  <c r="B40" i="3"/>
  <c r="G3" i="4"/>
  <c r="B20" i="3"/>
  <c r="B21" i="3"/>
  <c r="B22" i="3"/>
  <c r="B23" i="3"/>
  <c r="B24" i="3"/>
  <c r="B25" i="3"/>
  <c r="B26" i="3"/>
  <c r="B27" i="3"/>
  <c r="B28" i="3"/>
  <c r="B29" i="3"/>
  <c r="B30" i="3"/>
  <c r="B31" i="3"/>
  <c r="B32" i="3"/>
  <c r="B33" i="3"/>
  <c r="B34" i="3"/>
  <c r="B35" i="3"/>
  <c r="B36" i="3"/>
  <c r="B37" i="3"/>
  <c r="B38" i="3"/>
  <c r="B39" i="3"/>
  <c r="I2" i="4"/>
  <c r="AC87" i="5"/>
  <c r="O30" i="18"/>
  <c r="C13" i="4"/>
  <c r="C15" i="4"/>
  <c r="L15" i="4" s="1"/>
  <c r="C16" i="4"/>
  <c r="C17" i="4"/>
  <c r="AA77" i="1"/>
  <c r="H15" i="3"/>
  <c r="H13" i="3"/>
  <c r="H11" i="3"/>
  <c r="H7" i="3"/>
  <c r="C3" i="3"/>
  <c r="A51" i="3"/>
  <c r="A52" i="3"/>
  <c r="E59" i="3"/>
  <c r="B55" i="4"/>
  <c r="B56" i="4"/>
  <c r="B57" i="4"/>
  <c r="B43" i="4"/>
  <c r="B112" i="4"/>
  <c r="B66" i="4"/>
  <c r="T76" i="4"/>
  <c r="U76" i="4"/>
  <c r="T77" i="4"/>
  <c r="U77" i="4"/>
  <c r="T78" i="4"/>
  <c r="U78" i="4"/>
  <c r="T79" i="4"/>
  <c r="U79" i="4"/>
  <c r="T80" i="4"/>
  <c r="U80" i="4"/>
  <c r="T81" i="4"/>
  <c r="U81" i="4"/>
  <c r="T82" i="4"/>
  <c r="U82" i="4"/>
  <c r="T83" i="4"/>
  <c r="U83" i="4"/>
  <c r="T84" i="4"/>
  <c r="U84" i="4"/>
  <c r="T85" i="4"/>
  <c r="U85" i="4"/>
  <c r="T86" i="4"/>
  <c r="U86" i="4"/>
  <c r="T87" i="4"/>
  <c r="U87" i="4"/>
  <c r="T88" i="4"/>
  <c r="U88" i="4"/>
  <c r="T89" i="4"/>
  <c r="U89" i="4"/>
  <c r="T90" i="4"/>
  <c r="U90" i="4"/>
  <c r="T91" i="4"/>
  <c r="U91" i="4"/>
  <c r="T92" i="4"/>
  <c r="U92" i="4"/>
  <c r="T93" i="4"/>
  <c r="U93" i="4"/>
  <c r="T94" i="4"/>
  <c r="U94" i="4"/>
  <c r="U75" i="4"/>
  <c r="K2" i="4"/>
  <c r="E46" i="5"/>
  <c r="AA56" i="1"/>
  <c r="J8" i="4"/>
  <c r="S8" i="4" s="1"/>
  <c r="AA58" i="1"/>
  <c r="AA59" i="1"/>
  <c r="AA60" i="1"/>
  <c r="AA61" i="1"/>
  <c r="AA62" i="1"/>
  <c r="AA63" i="1"/>
  <c r="AA64" i="1"/>
  <c r="AA66" i="1"/>
  <c r="AA55" i="1"/>
  <c r="B31" i="1"/>
  <c r="B31" i="18" s="1"/>
  <c r="AA67" i="1"/>
  <c r="AA68" i="1"/>
  <c r="AA69" i="1"/>
  <c r="AA70" i="1"/>
  <c r="AA71" i="1"/>
  <c r="AA72" i="1"/>
  <c r="AA73" i="1"/>
  <c r="AA74" i="1"/>
  <c r="E32" i="5"/>
  <c r="E30" i="5"/>
  <c r="E56" i="5"/>
  <c r="E57" i="5"/>
  <c r="E58" i="5"/>
  <c r="E59" i="5"/>
  <c r="E60" i="5"/>
  <c r="E61" i="5"/>
  <c r="E62" i="5"/>
  <c r="E63" i="5"/>
  <c r="E64" i="5"/>
  <c r="E65" i="5"/>
  <c r="E66" i="5"/>
  <c r="E67" i="5"/>
  <c r="E68" i="5"/>
  <c r="E69" i="5"/>
  <c r="E70" i="5"/>
  <c r="E71" i="5"/>
  <c r="E55" i="5"/>
  <c r="E54" i="5"/>
  <c r="E53" i="5"/>
  <c r="E52" i="5"/>
  <c r="E51" i="5"/>
  <c r="E50" i="5"/>
  <c r="E49" i="5"/>
  <c r="AC86" i="5"/>
  <c r="AC91" i="5"/>
  <c r="AC90" i="5"/>
  <c r="AC89" i="5"/>
  <c r="E37" i="5"/>
  <c r="E11" i="5"/>
  <c r="E4" i="5"/>
  <c r="R75" i="4" s="1"/>
  <c r="S75" i="4" s="1"/>
  <c r="C101" i="4"/>
  <c r="C102" i="4"/>
  <c r="C103" i="4"/>
  <c r="C104" i="4"/>
  <c r="C105" i="4"/>
  <c r="C106" i="4"/>
  <c r="C107" i="4"/>
  <c r="C108" i="4"/>
  <c r="C109" i="4"/>
  <c r="C110" i="4"/>
  <c r="C111" i="4"/>
  <c r="C112" i="4"/>
  <c r="C113" i="4"/>
  <c r="C114" i="4"/>
  <c r="E114" i="4" s="1"/>
  <c r="C115" i="4"/>
  <c r="C116" i="4"/>
  <c r="C117" i="4"/>
  <c r="C118" i="4"/>
  <c r="E118" i="4" s="1"/>
  <c r="C119" i="4"/>
  <c r="C100" i="4"/>
  <c r="E48" i="5"/>
  <c r="E39" i="5"/>
  <c r="E38" i="5"/>
  <c r="E34" i="5"/>
  <c r="E33" i="5"/>
  <c r="E31" i="5"/>
  <c r="E23" i="5"/>
  <c r="E21" i="5"/>
  <c r="E20" i="5"/>
  <c r="E19" i="5"/>
  <c r="E16" i="5"/>
  <c r="E13" i="5"/>
  <c r="E12" i="5"/>
  <c r="E7" i="5"/>
  <c r="E6" i="5"/>
  <c r="R82" i="4" s="1"/>
  <c r="E5" i="5"/>
  <c r="E35" i="4"/>
  <c r="E36" i="4"/>
  <c r="E37" i="4"/>
  <c r="E38" i="4"/>
  <c r="E39" i="4"/>
  <c r="E40" i="4"/>
  <c r="E41" i="4"/>
  <c r="E42" i="4"/>
  <c r="E43" i="4"/>
  <c r="E44" i="4"/>
  <c r="E45" i="4"/>
  <c r="E46" i="4"/>
  <c r="E47" i="4"/>
  <c r="E48" i="4"/>
  <c r="E49" i="4"/>
  <c r="E50" i="4"/>
  <c r="P3" i="5"/>
  <c r="P2" i="5"/>
  <c r="B50" i="1"/>
  <c r="B50" i="18" s="1"/>
  <c r="B49" i="1"/>
  <c r="B49" i="18" s="1"/>
  <c r="B48" i="1"/>
  <c r="B48" i="18" s="1"/>
  <c r="B47" i="1"/>
  <c r="B47" i="18" s="1"/>
  <c r="B46" i="1"/>
  <c r="B46" i="18" s="1"/>
  <c r="B45" i="1"/>
  <c r="B45" i="18"/>
  <c r="B44" i="1"/>
  <c r="B44" i="18" s="1"/>
  <c r="B43" i="1"/>
  <c r="B43" i="18"/>
  <c r="B42" i="1"/>
  <c r="B42" i="18" s="1"/>
  <c r="B41" i="1"/>
  <c r="B41" i="18" s="1"/>
  <c r="B40" i="1"/>
  <c r="B40" i="18" s="1"/>
  <c r="B39" i="1"/>
  <c r="B39" i="18" s="1"/>
  <c r="B38" i="1"/>
  <c r="B38" i="18" s="1"/>
  <c r="B37" i="1"/>
  <c r="B37" i="18"/>
  <c r="B36" i="1"/>
  <c r="B36" i="18" s="1"/>
  <c r="B35" i="1"/>
  <c r="B35" i="18"/>
  <c r="B34" i="1"/>
  <c r="B34" i="18" s="1"/>
  <c r="B33" i="1"/>
  <c r="B33" i="18"/>
  <c r="B32" i="1"/>
  <c r="B32" i="18" s="1"/>
  <c r="B5" i="11"/>
  <c r="B6" i="11"/>
  <c r="B7" i="11"/>
  <c r="B8" i="11" s="1"/>
  <c r="B9" i="11" s="1"/>
  <c r="B10" i="11" s="1"/>
  <c r="B11" i="11" s="1"/>
  <c r="B12" i="11" s="1"/>
  <c r="B13" i="11" s="1"/>
  <c r="B14" i="11" s="1"/>
  <c r="B15" i="11"/>
  <c r="B5" i="10"/>
  <c r="B6" i="10" s="1"/>
  <c r="B7" i="10"/>
  <c r="B8" i="10" s="1"/>
  <c r="B9" i="10" s="1"/>
  <c r="B10" i="10" s="1"/>
  <c r="B11" i="10"/>
  <c r="B12" i="10" s="1"/>
  <c r="B13" i="10" s="1"/>
  <c r="B14" i="10" s="1"/>
  <c r="B15" i="10" s="1"/>
  <c r="D27" i="1"/>
  <c r="D27" i="18" s="1"/>
  <c r="H23" i="4"/>
  <c r="H25" i="4"/>
  <c r="H21" i="4"/>
  <c r="C20" i="4"/>
  <c r="C19" i="4"/>
  <c r="H26" i="4"/>
  <c r="H24" i="4"/>
  <c r="H22" i="4"/>
  <c r="J7" i="4"/>
  <c r="G53" i="4"/>
  <c r="N83" i="4"/>
  <c r="O83" i="4" s="1"/>
  <c r="B62" i="4"/>
  <c r="G7" i="18"/>
  <c r="B37" i="4"/>
  <c r="B106" i="4"/>
  <c r="B63" i="4"/>
  <c r="C9" i="4"/>
  <c r="G26" i="4"/>
  <c r="F23" i="18"/>
  <c r="F21" i="18"/>
  <c r="O21" i="4"/>
  <c r="F19" i="18"/>
  <c r="O19" i="4"/>
  <c r="F17" i="18"/>
  <c r="O17" i="4"/>
  <c r="F12" i="18"/>
  <c r="O8" i="4"/>
  <c r="F13" i="18"/>
  <c r="O13" i="4"/>
  <c r="F24" i="18"/>
  <c r="O24" i="4"/>
  <c r="F22" i="18"/>
  <c r="O22" i="4"/>
  <c r="F11" i="18"/>
  <c r="F9" i="18"/>
  <c r="O9" i="4"/>
  <c r="F25" i="18"/>
  <c r="O25" i="4"/>
  <c r="F26" i="18"/>
  <c r="O26" i="4"/>
  <c r="P6" i="1"/>
  <c r="P6" i="18"/>
  <c r="L30" i="18"/>
  <c r="B32" i="4"/>
  <c r="B101" i="4"/>
  <c r="B33" i="4"/>
  <c r="B102" i="4" s="1"/>
  <c r="B31" i="4"/>
  <c r="B100" i="4"/>
  <c r="B50" i="4"/>
  <c r="B119" i="4" s="1"/>
  <c r="N92" i="4"/>
  <c r="O92" i="4" s="1"/>
  <c r="N90" i="4"/>
  <c r="O90" i="4" s="1"/>
  <c r="N89" i="4"/>
  <c r="O89" i="4" s="1"/>
  <c r="P26" i="4"/>
  <c r="AD6" i="1"/>
  <c r="R30" i="1"/>
  <c r="I22" i="4"/>
  <c r="V6" i="18"/>
  <c r="I15" i="4"/>
  <c r="S15" i="4" s="1"/>
  <c r="U30" i="18"/>
  <c r="T6" i="1"/>
  <c r="O6" i="18"/>
  <c r="D30" i="1"/>
  <c r="P22" i="4"/>
  <c r="P24" i="4"/>
  <c r="P21" i="4"/>
  <c r="I25" i="4"/>
  <c r="S25" i="4" s="1"/>
  <c r="AB30" i="18"/>
  <c r="M6" i="1"/>
  <c r="I24" i="4"/>
  <c r="Y6" i="18"/>
  <c r="L9" i="4"/>
  <c r="P9" i="4"/>
  <c r="K30" i="1"/>
  <c r="Z30" i="1"/>
  <c r="R30" i="18"/>
  <c r="I9" i="4"/>
  <c r="S9" i="4" s="1"/>
  <c r="I7" i="4"/>
  <c r="I14" i="4"/>
  <c r="Y1" i="18"/>
  <c r="X25" i="1"/>
  <c r="X25" i="18" s="1"/>
  <c r="L25" i="4"/>
  <c r="X21" i="1"/>
  <c r="X21" i="18" s="1"/>
  <c r="X23" i="1"/>
  <c r="X23" i="18" s="1"/>
  <c r="N9" i="4"/>
  <c r="N13" i="4"/>
  <c r="N15" i="4"/>
  <c r="N17" i="4"/>
  <c r="N19" i="4"/>
  <c r="S19" i="4" s="1"/>
  <c r="N21" i="4"/>
  <c r="N23" i="4"/>
  <c r="N25" i="4"/>
  <c r="N7" i="4"/>
  <c r="N8" i="4"/>
  <c r="N16" i="4"/>
  <c r="N20" i="4"/>
  <c r="N22" i="4"/>
  <c r="N24" i="4"/>
  <c r="S24" i="4" s="1"/>
  <c r="N26" i="4"/>
  <c r="N81" i="4"/>
  <c r="O81" i="4"/>
  <c r="AF37" i="1" s="1"/>
  <c r="B60" i="4"/>
  <c r="L21" i="4"/>
  <c r="X24" i="1"/>
  <c r="X24" i="18" s="1"/>
  <c r="B72" i="4"/>
  <c r="Q78" i="4"/>
  <c r="I12" i="4"/>
  <c r="T6" i="18"/>
  <c r="F30" i="1"/>
  <c r="S30" i="1"/>
  <c r="AA30" i="1"/>
  <c r="G30" i="1"/>
  <c r="P30" i="18"/>
  <c r="K30" i="18"/>
  <c r="E30" i="1"/>
  <c r="M30" i="1"/>
  <c r="I13" i="4"/>
  <c r="S13" i="4" s="1"/>
  <c r="A29" i="1"/>
  <c r="Z6" i="1"/>
  <c r="M53" i="18"/>
  <c r="G25" i="18"/>
  <c r="F15" i="18"/>
  <c r="A29" i="18"/>
  <c r="I8" i="4"/>
  <c r="I10" i="4"/>
  <c r="AC30" i="1"/>
  <c r="M75" i="1"/>
  <c r="I19" i="4"/>
  <c r="L16" i="4"/>
  <c r="P16" i="4"/>
  <c r="T30" i="18"/>
  <c r="S30" i="18"/>
  <c r="E54" i="1"/>
  <c r="V30" i="1"/>
  <c r="E53" i="1"/>
  <c r="P15" i="4"/>
  <c r="P30" i="1"/>
  <c r="L17" i="4"/>
  <c r="P17" i="4"/>
  <c r="Z6" i="18"/>
  <c r="AB30" i="1"/>
  <c r="Y1" i="1"/>
  <c r="M30" i="18"/>
  <c r="Z30" i="18"/>
  <c r="J30" i="18"/>
  <c r="C30" i="1"/>
  <c r="J30" i="1"/>
  <c r="Q30" i="1"/>
  <c r="E54" i="18"/>
  <c r="U6" i="18"/>
  <c r="I23" i="4"/>
  <c r="X74" i="4"/>
  <c r="I11" i="4"/>
  <c r="Y30" i="1"/>
  <c r="L30" i="1"/>
  <c r="F30" i="18"/>
  <c r="X30" i="18"/>
  <c r="AA30" i="18"/>
  <c r="I16" i="4"/>
  <c r="X30" i="1"/>
  <c r="I26" i="4"/>
  <c r="P13" i="4"/>
  <c r="M6" i="18"/>
  <c r="Y30" i="18"/>
  <c r="I30" i="18"/>
  <c r="AD6" i="18"/>
  <c r="N30" i="1"/>
  <c r="W30" i="1"/>
  <c r="M53" i="1"/>
  <c r="V6" i="1"/>
  <c r="T30" i="1"/>
  <c r="W30" i="18"/>
  <c r="V30" i="18"/>
  <c r="C30" i="18"/>
  <c r="P23" i="4"/>
  <c r="I21" i="4"/>
  <c r="L20" i="4"/>
  <c r="P20" i="4"/>
  <c r="I18" i="4"/>
  <c r="U30" i="1"/>
  <c r="O30" i="1"/>
  <c r="E53" i="18"/>
  <c r="U6" i="1"/>
  <c r="F8" i="18"/>
  <c r="P25" i="4"/>
  <c r="AC6" i="18"/>
  <c r="I30" i="1"/>
  <c r="O6" i="1"/>
  <c r="Q30" i="18"/>
  <c r="AC30" i="18"/>
  <c r="D30" i="18"/>
  <c r="N30" i="18"/>
  <c r="L19" i="4"/>
  <c r="P19" i="4"/>
  <c r="I17" i="4"/>
  <c r="AC6" i="1"/>
  <c r="I20" i="4"/>
  <c r="S20" i="4" s="1"/>
  <c r="M75" i="18"/>
  <c r="N79" i="4"/>
  <c r="O79" i="4"/>
  <c r="N78" i="4"/>
  <c r="O78" i="4"/>
  <c r="AG34" i="18" s="1"/>
  <c r="V95" i="4"/>
  <c r="M56" i="4" s="1"/>
  <c r="P76" i="4"/>
  <c r="D101" i="4"/>
  <c r="E101" i="4" s="1"/>
  <c r="Q82" i="4"/>
  <c r="G26" i="18"/>
  <c r="L24" i="4"/>
  <c r="L26" i="4"/>
  <c r="Q94" i="4"/>
  <c r="X9" i="1"/>
  <c r="X9" i="18" s="1"/>
  <c r="L7" i="4"/>
  <c r="P81" i="4"/>
  <c r="D106" i="4" s="1"/>
  <c r="AG37" i="18"/>
  <c r="B61" i="4"/>
  <c r="E6" i="1"/>
  <c r="X14" i="18"/>
  <c r="I6" i="1"/>
  <c r="L13" i="4"/>
  <c r="L23" i="4"/>
  <c r="X7" i="1"/>
  <c r="X7" i="18" s="1"/>
  <c r="J6" i="1"/>
  <c r="X18" i="1"/>
  <c r="X18" i="18"/>
  <c r="I6" i="18"/>
  <c r="X8" i="1"/>
  <c r="X8" i="18" s="1"/>
  <c r="F20" i="18"/>
  <c r="F18" i="18"/>
  <c r="F16" i="18"/>
  <c r="F14" i="18"/>
  <c r="F10" i="18"/>
  <c r="G9" i="18"/>
  <c r="G11" i="18"/>
  <c r="G16" i="18"/>
  <c r="G19" i="18"/>
  <c r="G20" i="18"/>
  <c r="Q90" i="4"/>
  <c r="Q79" i="4"/>
  <c r="Q77" i="4"/>
  <c r="N93" i="4"/>
  <c r="O93" i="4"/>
  <c r="AG49" i="18" s="1"/>
  <c r="N85" i="4"/>
  <c r="O85" i="4" s="1"/>
  <c r="N84" i="4"/>
  <c r="O84" i="4" s="1"/>
  <c r="AF40" i="1" s="1"/>
  <c r="N75" i="4"/>
  <c r="O75" i="4"/>
  <c r="AG31" i="18" s="1"/>
  <c r="B69" i="4"/>
  <c r="B67" i="4"/>
  <c r="J6" i="18"/>
  <c r="B53" i="4"/>
  <c r="L22" i="4"/>
  <c r="X11" i="1"/>
  <c r="X11" i="18"/>
  <c r="X26" i="1"/>
  <c r="X26" i="18" s="1"/>
  <c r="X22" i="1"/>
  <c r="X22" i="18"/>
  <c r="E6" i="18"/>
  <c r="B49" i="4"/>
  <c r="B118" i="4" s="1"/>
  <c r="B71" i="4"/>
  <c r="B65" i="4"/>
  <c r="B58" i="4"/>
  <c r="Q87" i="4"/>
  <c r="O91" i="4"/>
  <c r="AF47" i="1" s="1"/>
  <c r="Q86" i="4"/>
  <c r="Q76" i="4"/>
  <c r="N76" i="4"/>
  <c r="O76" i="4" s="1"/>
  <c r="AF32" i="1" s="1"/>
  <c r="N86" i="4"/>
  <c r="O86" i="4"/>
  <c r="AG42" i="18" s="1"/>
  <c r="N94" i="4"/>
  <c r="O94" i="4" s="1"/>
  <c r="AF50" i="1" s="1"/>
  <c r="Q89" i="4"/>
  <c r="Q85" i="4"/>
  <c r="Q83" i="4"/>
  <c r="G23" i="18"/>
  <c r="B44" i="4"/>
  <c r="B113" i="4" s="1"/>
  <c r="S22" i="4"/>
  <c r="B35" i="4"/>
  <c r="B104" i="4" s="1"/>
  <c r="P93" i="4"/>
  <c r="D118" i="4" s="1"/>
  <c r="F118" i="4" s="1"/>
  <c r="AF49" i="1"/>
  <c r="S26" i="4"/>
  <c r="R26" i="4" s="1"/>
  <c r="S23" i="4"/>
  <c r="S21" i="4"/>
  <c r="S16" i="4"/>
  <c r="AF34" i="1"/>
  <c r="B34" i="4"/>
  <c r="B103" i="4"/>
  <c r="AF42" i="1"/>
  <c r="AG32" i="18"/>
  <c r="AG47" i="18"/>
  <c r="B45" i="4"/>
  <c r="B114" i="4" s="1"/>
  <c r="B47" i="4"/>
  <c r="B116" i="4"/>
  <c r="B36" i="4"/>
  <c r="B105" i="4"/>
  <c r="P75" i="4"/>
  <c r="D100" i="4" s="1"/>
  <c r="E100" i="4" s="1"/>
  <c r="P77" i="4"/>
  <c r="D102" i="4" s="1"/>
  <c r="Y74" i="1"/>
  <c r="U26" i="4"/>
  <c r="Z74" i="1" s="1"/>
  <c r="C72" i="4"/>
  <c r="D104" i="4"/>
  <c r="E104" i="4" s="1"/>
  <c r="P89" i="4"/>
  <c r="D114" i="4"/>
  <c r="F114" i="4" s="1"/>
  <c r="D72" i="4"/>
  <c r="AB74" i="1"/>
  <c r="U18" i="4"/>
  <c r="W18" i="4"/>
  <c r="AB66" i="1" s="1"/>
  <c r="Y66" i="1"/>
  <c r="C64" i="4"/>
  <c r="Z66" i="1"/>
  <c r="C22" i="4"/>
  <c r="Q22" i="4" s="1"/>
  <c r="C24" i="4"/>
  <c r="Q24" i="4" s="1"/>
  <c r="C70" i="4" s="1"/>
  <c r="C23" i="4"/>
  <c r="Q23" i="4" s="1"/>
  <c r="C8" i="4"/>
  <c r="L8" i="4" s="1"/>
  <c r="S79" i="4"/>
  <c r="C25" i="4"/>
  <c r="Q25" i="4"/>
  <c r="W25" i="4" s="1"/>
  <c r="C21" i="4"/>
  <c r="Q21" i="4"/>
  <c r="R24" i="4"/>
  <c r="W23" i="4"/>
  <c r="D69" i="4" s="1"/>
  <c r="C69" i="4"/>
  <c r="U21" i="4"/>
  <c r="Z69" i="1" s="1"/>
  <c r="R21" i="4"/>
  <c r="AB71" i="1"/>
  <c r="D20" i="4"/>
  <c r="D19" i="4"/>
  <c r="G20" i="4"/>
  <c r="G19" i="4"/>
  <c r="M20" i="4"/>
  <c r="M19" i="4"/>
  <c r="H19" i="4"/>
  <c r="H20" i="4"/>
  <c r="G16" i="4"/>
  <c r="M16" i="4"/>
  <c r="H16" i="4"/>
  <c r="D17" i="4"/>
  <c r="M17" i="4"/>
  <c r="D16" i="4"/>
  <c r="H17" i="4"/>
  <c r="G17" i="4"/>
  <c r="E11" i="4"/>
  <c r="G8" i="4"/>
  <c r="G14" i="4"/>
  <c r="E26" i="4"/>
  <c r="D15" i="4"/>
  <c r="E7" i="4"/>
  <c r="H14" i="4"/>
  <c r="M9" i="4"/>
  <c r="M14" i="4"/>
  <c r="W93" i="4"/>
  <c r="E8" i="4"/>
  <c r="W85" i="4"/>
  <c r="H12" i="4"/>
  <c r="H15" i="4"/>
  <c r="E17" i="4"/>
  <c r="D13" i="4"/>
  <c r="G7" i="4"/>
  <c r="H7" i="4"/>
  <c r="M10" i="4"/>
  <c r="W89" i="4"/>
  <c r="M11" i="4"/>
  <c r="O27" i="4"/>
  <c r="E25" i="4"/>
  <c r="W94" i="4"/>
  <c r="W86" i="4"/>
  <c r="Q27" i="4"/>
  <c r="D14" i="4"/>
  <c r="W81" i="4"/>
  <c r="M7" i="4"/>
  <c r="W76" i="4"/>
  <c r="D9" i="4"/>
  <c r="E18" i="4"/>
  <c r="H9" i="4"/>
  <c r="E23" i="4"/>
  <c r="D7" i="4"/>
  <c r="W77" i="4"/>
  <c r="W84" i="4"/>
  <c r="E19" i="4"/>
  <c r="E15" i="4"/>
  <c r="E21" i="4"/>
  <c r="M8" i="4"/>
  <c r="W79" i="4"/>
  <c r="G13" i="4"/>
  <c r="W88" i="4"/>
  <c r="G12" i="4"/>
  <c r="E24" i="4"/>
  <c r="W80" i="4"/>
  <c r="H13" i="4"/>
  <c r="E22" i="4"/>
  <c r="W82" i="4"/>
  <c r="F100" i="4"/>
  <c r="H33" i="4"/>
  <c r="G15" i="4"/>
  <c r="W83" i="4"/>
  <c r="H8" i="4"/>
  <c r="H31" i="4"/>
  <c r="D8" i="4"/>
  <c r="D11" i="4"/>
  <c r="H11" i="4"/>
  <c r="M13" i="4"/>
  <c r="E14" i="4"/>
  <c r="E12" i="4"/>
  <c r="F101" i="4"/>
  <c r="G11" i="4"/>
  <c r="E16" i="4"/>
  <c r="M15" i="4"/>
  <c r="M12" i="4"/>
  <c r="D12" i="4"/>
  <c r="W91" i="4"/>
  <c r="G9" i="4"/>
  <c r="D10" i="4"/>
  <c r="E13" i="4"/>
  <c r="W90" i="4"/>
  <c r="W92" i="4"/>
  <c r="H32" i="4"/>
  <c r="F104" i="4"/>
  <c r="W87" i="4"/>
  <c r="E10" i="4"/>
  <c r="E9" i="4"/>
  <c r="G10" i="4"/>
  <c r="H10" i="4"/>
  <c r="E20" i="4"/>
  <c r="W75" i="4"/>
  <c r="W78" i="4"/>
  <c r="D71" i="4" l="1"/>
  <c r="AB73" i="1"/>
  <c r="C71" i="4"/>
  <c r="W24" i="4"/>
  <c r="W21" i="4"/>
  <c r="Y69" i="1"/>
  <c r="C67" i="4"/>
  <c r="AG48" i="18"/>
  <c r="AF48" i="1"/>
  <c r="N80" i="4"/>
  <c r="O80" i="4" s="1"/>
  <c r="AF38" i="1"/>
  <c r="AG38" i="18"/>
  <c r="W22" i="4"/>
  <c r="C68" i="4"/>
  <c r="R22" i="4"/>
  <c r="AG46" i="18"/>
  <c r="AF46" i="1"/>
  <c r="Y70" i="1"/>
  <c r="U25" i="4"/>
  <c r="Z73" i="1" s="1"/>
  <c r="D64" i="4"/>
  <c r="R23" i="4"/>
  <c r="Y71" i="1"/>
  <c r="U23" i="4"/>
  <c r="Z71" i="1" s="1"/>
  <c r="U22" i="4"/>
  <c r="Z70" i="1" s="1"/>
  <c r="AG50" i="18"/>
  <c r="N87" i="4"/>
  <c r="O87" i="4" s="1"/>
  <c r="AG43" i="18" s="1"/>
  <c r="N77" i="4"/>
  <c r="O77" i="4" s="1"/>
  <c r="E102" i="4"/>
  <c r="B22" i="4"/>
  <c r="B68" i="4"/>
  <c r="B82" i="4"/>
  <c r="B38" i="4"/>
  <c r="B107" i="4" s="1"/>
  <c r="R25" i="4"/>
  <c r="Y73" i="1"/>
  <c r="Y72" i="1"/>
  <c r="U24" i="4"/>
  <c r="Z72" i="1" s="1"/>
  <c r="AF31" i="1"/>
  <c r="AG41" i="18"/>
  <c r="AF41" i="1"/>
  <c r="AG35" i="18"/>
  <c r="AF35" i="1"/>
  <c r="AG45" i="18"/>
  <c r="AF45" i="1"/>
  <c r="G65" i="4"/>
  <c r="X19" i="1"/>
  <c r="X19" i="18" s="1"/>
  <c r="X13" i="1"/>
  <c r="X13" i="18" s="1"/>
  <c r="S17" i="4"/>
  <c r="O23" i="4"/>
  <c r="M88" i="4"/>
  <c r="S88" i="4" s="1"/>
  <c r="N88" i="4"/>
  <c r="O88" i="4" s="1"/>
  <c r="S80" i="4"/>
  <c r="S78" i="4"/>
  <c r="G63" i="4"/>
  <c r="X17" i="1"/>
  <c r="X17" i="18" s="1"/>
  <c r="S89" i="4"/>
  <c r="B18" i="4"/>
  <c r="B64" i="4"/>
  <c r="S81" i="4"/>
  <c r="E106" i="4"/>
  <c r="S11" i="4"/>
  <c r="S7" i="4"/>
  <c r="G66" i="4"/>
  <c r="X20" i="1"/>
  <c r="X20" i="18" s="1"/>
  <c r="P94" i="4"/>
  <c r="D119" i="4" s="1"/>
  <c r="F119" i="4" s="1"/>
  <c r="S93" i="4"/>
  <c r="B24" i="4"/>
  <c r="B70" i="4"/>
  <c r="M91" i="4"/>
  <c r="P10" i="4"/>
  <c r="P12" i="4"/>
  <c r="P18" i="4"/>
  <c r="P11" i="4"/>
  <c r="M90" i="4"/>
  <c r="M86" i="4"/>
  <c r="M78" i="4"/>
  <c r="P78" i="4" s="1"/>
  <c r="D103" i="4" s="1"/>
  <c r="M48" i="4"/>
  <c r="M44" i="4"/>
  <c r="M40" i="4"/>
  <c r="M36" i="4"/>
  <c r="N11" i="4"/>
  <c r="L14" i="4"/>
  <c r="P14" i="4" s="1"/>
  <c r="N14" i="4"/>
  <c r="S14" i="4" s="1"/>
  <c r="L18" i="4"/>
  <c r="L10" i="4"/>
  <c r="L12" i="4"/>
  <c r="N10" i="4"/>
  <c r="S10" i="4" s="1"/>
  <c r="L11" i="4"/>
  <c r="N12" i="4"/>
  <c r="N18" i="4"/>
  <c r="S18" i="4" s="1"/>
  <c r="R18" i="4" s="1"/>
  <c r="F56" i="4"/>
  <c r="F58" i="4"/>
  <c r="F61" i="4"/>
  <c r="M94" i="4"/>
  <c r="S94" i="4" s="1"/>
  <c r="L91" i="4"/>
  <c r="P91" i="4" s="1"/>
  <c r="D116" i="4" s="1"/>
  <c r="L87" i="4"/>
  <c r="M85" i="4"/>
  <c r="M84" i="4"/>
  <c r="M83" i="4"/>
  <c r="S12" i="4"/>
  <c r="F33" i="4"/>
  <c r="J33" i="4" s="1"/>
  <c r="K33" i="4" s="1"/>
  <c r="M33" i="4" s="1"/>
  <c r="F32" i="4"/>
  <c r="J32" i="4" s="1"/>
  <c r="K32" i="4" s="1"/>
  <c r="M32" i="4" s="1"/>
  <c r="J31" i="4"/>
  <c r="K31" i="4" s="1"/>
  <c r="M31" i="4" s="1"/>
  <c r="AG40" i="18"/>
  <c r="AF39" i="1"/>
  <c r="AG39" i="18"/>
  <c r="G27" i="18"/>
  <c r="X16" i="1"/>
  <c r="X16" i="18" s="1"/>
  <c r="P7" i="4"/>
  <c r="P8" i="4"/>
  <c r="AG44" i="18"/>
  <c r="AF44" i="1"/>
  <c r="P88" i="4"/>
  <c r="D113" i="4" s="1"/>
  <c r="P87" i="4"/>
  <c r="D112" i="4" s="1"/>
  <c r="S87" i="4"/>
  <c r="B85" i="4"/>
  <c r="B41" i="4"/>
  <c r="B110" i="4" s="1"/>
  <c r="B84" i="4"/>
  <c r="B40" i="4"/>
  <c r="B109" i="4" s="1"/>
  <c r="B39" i="4"/>
  <c r="B108" i="4" s="1"/>
  <c r="B83" i="4"/>
  <c r="N56" i="4"/>
  <c r="F21" i="4"/>
  <c r="F24" i="4"/>
  <c r="F26" i="4"/>
  <c r="W27" i="4"/>
  <c r="F25" i="4"/>
  <c r="P4" i="4"/>
  <c r="F22" i="4"/>
  <c r="F23" i="4"/>
  <c r="W95" i="4"/>
  <c r="F18" i="4"/>
  <c r="F113" i="4"/>
  <c r="F112" i="4"/>
  <c r="F19" i="4"/>
  <c r="F20" i="4"/>
  <c r="F16" i="4"/>
  <c r="F17" i="4"/>
  <c r="F9" i="4"/>
  <c r="F13" i="4"/>
  <c r="F14" i="4"/>
  <c r="F8" i="4"/>
  <c r="F106" i="4"/>
  <c r="F10" i="4"/>
  <c r="F7" i="4"/>
  <c r="F15" i="4"/>
  <c r="F102" i="4"/>
  <c r="F12" i="4"/>
  <c r="F105" i="4"/>
  <c r="F11" i="4"/>
  <c r="X10" i="1" l="1"/>
  <c r="X10" i="18" s="1"/>
  <c r="G56" i="4"/>
  <c r="B90" i="4"/>
  <c r="B46" i="4"/>
  <c r="B115" i="4" s="1"/>
  <c r="N27" i="4"/>
  <c r="B86" i="4"/>
  <c r="B42" i="4"/>
  <c r="B111" i="4" s="1"/>
  <c r="AF43" i="1"/>
  <c r="G61" i="4"/>
  <c r="X15" i="1"/>
  <c r="X15" i="18" s="1"/>
  <c r="S82" i="4"/>
  <c r="P82" i="4"/>
  <c r="D107" i="4" s="1"/>
  <c r="AG36" i="18"/>
  <c r="AF36" i="1"/>
  <c r="F116" i="4"/>
  <c r="E116" i="4"/>
  <c r="AB72" i="1"/>
  <c r="D70" i="4"/>
  <c r="B92" i="4"/>
  <c r="B48" i="4"/>
  <c r="B117" i="4" s="1"/>
  <c r="G58" i="4"/>
  <c r="X12" i="1"/>
  <c r="X12" i="18" s="1"/>
  <c r="E103" i="4"/>
  <c r="S91" i="4"/>
  <c r="E119" i="4"/>
  <c r="AG33" i="18"/>
  <c r="AF33" i="1"/>
  <c r="D68" i="4"/>
  <c r="AB70" i="1"/>
  <c r="D67" i="4"/>
  <c r="AB69" i="1"/>
  <c r="F51" i="4"/>
  <c r="M55" i="4" s="1"/>
  <c r="AA78" i="1"/>
  <c r="E113" i="4"/>
  <c r="E112" i="4"/>
  <c r="S85" i="4"/>
  <c r="P85" i="4"/>
  <c r="D110" i="4" s="1"/>
  <c r="S84" i="4"/>
  <c r="P84" i="4"/>
  <c r="D109" i="4" s="1"/>
  <c r="S83" i="4"/>
  <c r="P83" i="4"/>
  <c r="D108" i="4" s="1"/>
  <c r="Q14" i="4"/>
  <c r="Q9" i="4"/>
  <c r="Q15" i="4"/>
  <c r="Q8" i="4"/>
  <c r="Q13" i="4"/>
  <c r="Q11" i="4"/>
  <c r="Q19" i="4"/>
  <c r="Q10" i="4"/>
  <c r="Q12" i="4"/>
  <c r="Q16" i="4"/>
  <c r="Q17" i="4"/>
  <c r="Q20" i="4"/>
  <c r="Q7" i="4"/>
  <c r="F103" i="4"/>
  <c r="E107" i="4" l="1"/>
  <c r="S90" i="4"/>
  <c r="P90" i="4"/>
  <c r="D115" i="4" s="1"/>
  <c r="S86" i="4"/>
  <c r="P86" i="4"/>
  <c r="D111" i="4" s="1"/>
  <c r="S92" i="4"/>
  <c r="S95" i="4" s="1"/>
  <c r="M57" i="4" s="1"/>
  <c r="P92" i="4"/>
  <c r="D117" i="4" s="1"/>
  <c r="N55" i="4"/>
  <c r="P55" i="4" s="1"/>
  <c r="AA79" i="1" s="1"/>
  <c r="M58" i="4"/>
  <c r="E110" i="4"/>
  <c r="E109" i="4"/>
  <c r="E108" i="4"/>
  <c r="R20" i="4"/>
  <c r="U20" i="4"/>
  <c r="Z68" i="1" s="1"/>
  <c r="C66" i="4"/>
  <c r="Y68" i="1"/>
  <c r="R16" i="4"/>
  <c r="U16" i="4" s="1"/>
  <c r="Z64" i="1" s="1"/>
  <c r="C62" i="4"/>
  <c r="Y64" i="1"/>
  <c r="R10" i="4"/>
  <c r="U10" i="4" s="1"/>
  <c r="Z58" i="1" s="1"/>
  <c r="Y58" i="1"/>
  <c r="C56" i="4"/>
  <c r="Y59" i="1"/>
  <c r="C57" i="4"/>
  <c r="R11" i="4"/>
  <c r="U11" i="4" s="1"/>
  <c r="C54" i="4"/>
  <c r="Y56" i="1"/>
  <c r="R8" i="4"/>
  <c r="U8" i="4" s="1"/>
  <c r="Y57" i="1"/>
  <c r="R9" i="4"/>
  <c r="U9" i="4" s="1"/>
  <c r="C55" i="4"/>
  <c r="Y55" i="1"/>
  <c r="R7" i="4"/>
  <c r="U7" i="4" s="1"/>
  <c r="O4" i="4"/>
  <c r="C53" i="4"/>
  <c r="C63" i="4"/>
  <c r="Y65" i="1"/>
  <c r="R17" i="4"/>
  <c r="U17" i="4" s="1"/>
  <c r="R12" i="4"/>
  <c r="U12" i="4" s="1"/>
  <c r="Z60" i="1" s="1"/>
  <c r="Y60" i="1"/>
  <c r="C58" i="4"/>
  <c r="R19" i="4"/>
  <c r="Y67" i="1"/>
  <c r="U19" i="4"/>
  <c r="Z67" i="1" s="1"/>
  <c r="C65" i="4"/>
  <c r="C59" i="4"/>
  <c r="R13" i="4"/>
  <c r="U13" i="4" s="1"/>
  <c r="Y61" i="1"/>
  <c r="R15" i="4"/>
  <c r="U15" i="4" s="1"/>
  <c r="Z63" i="1" s="1"/>
  <c r="Y63" i="1"/>
  <c r="C61" i="4"/>
  <c r="Y62" i="1"/>
  <c r="R14" i="4"/>
  <c r="U14" i="4" s="1"/>
  <c r="C60" i="4"/>
  <c r="F109" i="4"/>
  <c r="F110" i="4"/>
  <c r="F107" i="4"/>
  <c r="F108" i="4"/>
  <c r="N57" i="4" l="1"/>
  <c r="P56" i="4"/>
  <c r="AA80" i="1" s="1"/>
  <c r="F115" i="4"/>
  <c r="E115" i="4"/>
  <c r="F111" i="4"/>
  <c r="E111" i="4"/>
  <c r="E117" i="4"/>
  <c r="F117" i="4"/>
  <c r="R75" i="18"/>
  <c r="R75" i="1"/>
  <c r="Z57" i="1"/>
  <c r="W9" i="4"/>
  <c r="AB57" i="1" s="1"/>
  <c r="W20" i="4"/>
  <c r="Z62" i="1"/>
  <c r="W14" i="4"/>
  <c r="Z55" i="1"/>
  <c r="W7" i="4"/>
  <c r="Z59" i="1"/>
  <c r="W11" i="4"/>
  <c r="Z61" i="1"/>
  <c r="W13" i="4"/>
  <c r="Z65" i="1"/>
  <c r="W17" i="4"/>
  <c r="Z56" i="1"/>
  <c r="W8" i="4"/>
  <c r="D66" i="4"/>
  <c r="AB68" i="1"/>
  <c r="W15" i="4"/>
  <c r="W19" i="4"/>
  <c r="W12" i="4"/>
  <c r="W10" i="4"/>
  <c r="W16" i="4"/>
  <c r="D55" i="4" l="1"/>
  <c r="D56" i="4"/>
  <c r="AB58" i="1"/>
  <c r="D65" i="4"/>
  <c r="AB67" i="1"/>
  <c r="D54" i="4"/>
  <c r="AB56" i="1"/>
  <c r="AB65" i="1"/>
  <c r="D63" i="4"/>
  <c r="AB61" i="1"/>
  <c r="D59" i="4"/>
  <c r="D57" i="4"/>
  <c r="AB59" i="1"/>
  <c r="P57" i="4"/>
  <c r="D53" i="4"/>
  <c r="AB55" i="1"/>
  <c r="D60" i="4"/>
  <c r="AB62" i="1"/>
  <c r="AB64" i="1"/>
  <c r="D62" i="4"/>
  <c r="D58" i="4"/>
  <c r="AB60" i="1"/>
  <c r="D61" i="4"/>
  <c r="AB63" i="1"/>
  <c r="AA81" i="1" l="1"/>
  <c r="P58" i="4"/>
  <c r="AA82" i="1" s="1"/>
  <c r="P59" i="4" l="1"/>
  <c r="P61" i="4" l="1"/>
  <c r="AA83" i="1"/>
  <c r="C5" i="1" l="1"/>
  <c r="C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Temp1</author>
    <author>AdamsPC</author>
    <author>Laurence Martin</author>
    <author>Temp</author>
    <author>dcooksey</author>
    <author>John Waldner</author>
    <author>sales</author>
    <author>rupert delamain</author>
    <author>Adam</author>
  </authors>
  <commentList>
    <comment ref="M5" authorId="0" shapeId="0" xr:uid="{00000000-0006-0000-0000-000001000000}">
      <text>
        <r>
          <rPr>
            <b/>
            <sz val="8"/>
            <color indexed="81"/>
            <rFont val="Tahoma"/>
            <family val="2"/>
          </rPr>
          <t>Enter the Alternative address to the right of the Notes section</t>
        </r>
      </text>
    </comment>
    <comment ref="B6" authorId="1" shapeId="0" xr:uid="{00000000-0006-0000-0000-000002000000}">
      <text>
        <r>
          <rPr>
            <u/>
            <sz val="11"/>
            <color indexed="81"/>
            <rFont val="Tahoma"/>
            <family val="2"/>
          </rPr>
          <t>ROOM NAME</t>
        </r>
        <r>
          <rPr>
            <sz val="11"/>
            <color indexed="81"/>
            <rFont val="Tahoma"/>
            <family val="2"/>
          </rPr>
          <t xml:space="preserve">
e.g.
Kitchen
Bedroom 1
</t>
        </r>
      </text>
    </comment>
    <comment ref="C6" authorId="1" shapeId="0" xr:uid="{00000000-0006-0000-0000-000003000000}">
      <text>
        <r>
          <rPr>
            <u/>
            <sz val="11"/>
            <color indexed="81"/>
            <rFont val="Tahoma"/>
            <family val="2"/>
          </rPr>
          <t>MOUNTING TYPE</t>
        </r>
        <r>
          <rPr>
            <sz val="11"/>
            <color indexed="81"/>
            <rFont val="Tahoma"/>
            <family val="2"/>
          </rPr>
          <t xml:space="preserve">
Tier on Tier
Café Style
Full Height
Tracks
Exterior Panel Type
Special Shape (Drawings must be included)</t>
        </r>
      </text>
    </comment>
    <comment ref="D6" authorId="1" shapeId="0" xr:uid="{00000000-0006-0000-0000-000004000000}">
      <text>
        <r>
          <rPr>
            <sz val="11"/>
            <color indexed="81"/>
            <rFont val="Tahoma"/>
            <family val="2"/>
          </rPr>
          <t>Number of items with identical specification</t>
        </r>
      </text>
    </comment>
    <comment ref="E6" authorId="1" shapeId="0" xr:uid="{00000000-0006-0000-0000-000005000000}">
      <text>
        <r>
          <rPr>
            <sz val="10"/>
            <color indexed="81"/>
            <rFont val="Tahoma"/>
            <family val="2"/>
          </rPr>
          <t xml:space="preserve">No more than six panels can be hung from the frame under warranty. For clarification please refer to the manual. The other configurations are for track hung installations.
Free-Float Example: FF/FF is two pairs of free floating panels
By-Pass Example: FBF is three panels centre open-back and BFB is three panels centre open-front.
</t>
        </r>
        <r>
          <rPr>
            <sz val="10"/>
            <color indexed="10"/>
            <rFont val="Tahoma"/>
            <family val="2"/>
          </rPr>
          <t>If a configuration is not selected it is not possible to automatically calculate the Remote Control option.  If a suitable configuration is not listed, please type the required configuration  and if the order is POA (Price on Application) the price will be confirmed in the order confirmation.
Configurations entered in Short Notes will be ignored</t>
        </r>
      </text>
    </comment>
    <comment ref="F6" authorId="1" shapeId="0" xr:uid="{00000000-0006-0000-0000-000006000000}">
      <text>
        <r>
          <rPr>
            <u/>
            <sz val="11"/>
            <color indexed="81"/>
            <rFont val="Tahoma"/>
            <family val="2"/>
          </rPr>
          <t>OD - Outside dimension Width of the frame</t>
        </r>
        <r>
          <rPr>
            <sz val="11"/>
            <color indexed="81"/>
            <rFont val="Tahoma"/>
            <family val="2"/>
          </rPr>
          <t xml:space="preserve"> (In Millimetres)</t>
        </r>
      </text>
    </comment>
    <comment ref="G6" authorId="1" shapeId="0" xr:uid="{00000000-0006-0000-0000-000007000000}">
      <text>
        <r>
          <rPr>
            <u/>
            <sz val="11"/>
            <color indexed="81"/>
            <rFont val="Tahoma"/>
            <family val="2"/>
          </rPr>
          <t xml:space="preserve">OD - Outside Dimension Height of the Frame  </t>
        </r>
        <r>
          <rPr>
            <sz val="11"/>
            <color indexed="81"/>
            <rFont val="Tahoma"/>
            <family val="2"/>
          </rPr>
          <t>(In Millimetres)</t>
        </r>
      </text>
    </comment>
    <comment ref="H6" authorId="2" shapeId="0" xr:uid="{00000000-0006-0000-0000-000008000000}">
      <text>
        <r>
          <rPr>
            <sz val="9"/>
            <color indexed="81"/>
            <rFont val="Tahoma"/>
            <family val="2"/>
          </rPr>
          <t>Leg height is required for some special shapes only</t>
        </r>
      </text>
    </comment>
    <comment ref="I6" authorId="3" shapeId="0" xr:uid="{00000000-0006-0000-0000-000009000000}">
      <text>
        <r>
          <rPr>
            <sz val="12"/>
            <color indexed="81"/>
            <rFont val="Tahoma"/>
            <family val="2"/>
          </rPr>
          <t>MID RAIL POSITION 1
This measurement is determined from the bottom of the shutter set to the centre-point of the rail - in Millimetres, except for solid based shutters.  For solid based shutters, the bottom solid part is to the top of the midrail.
This column is for mid-rails only.  If specifying mounting type Tier-on-Tier, please insert the overall height of the bottom panel set including frame into the T-on-T position column.  Additional tiers should be specified in Notes</t>
        </r>
      </text>
    </comment>
    <comment ref="J6" authorId="3" shapeId="0" xr:uid="{00000000-0006-0000-0000-00000A000000}">
      <text>
        <r>
          <rPr>
            <sz val="12"/>
            <color indexed="81"/>
            <rFont val="Tahoma"/>
            <family val="2"/>
          </rPr>
          <t>MID RAIL POSITION 2
This measurement is determined from the bottom of the shutter set to the centre-point of the second rail, except for solid based shutters.  For solid based shutters, the solid part is to the top of the mid rail.
For Tier-on-Tier installations please insert the overall height of the bottom panel set including frame into the T on T position column.
If you require additional tiers they should be specified in Notes.</t>
        </r>
      </text>
    </comment>
    <comment ref="K6" authorId="2" shapeId="0" xr:uid="{00000000-0006-0000-0000-00000B000000}">
      <text>
        <r>
          <rPr>
            <sz val="9"/>
            <color indexed="81"/>
            <rFont val="Tahoma"/>
            <family val="2"/>
          </rPr>
          <t xml:space="preserve">Only tick this box if the mid-rail has to be exactly where specified.
</t>
        </r>
      </text>
    </comment>
    <comment ref="L6" authorId="2" shapeId="0" xr:uid="{00000000-0006-0000-0000-00000C000000}">
      <text>
        <r>
          <rPr>
            <sz val="9"/>
            <color indexed="81"/>
            <rFont val="Tahoma"/>
            <family val="2"/>
          </rPr>
          <t>For Tier-on-Tier installations please insert the overall height of the bottom panel set including frame into this column.</t>
        </r>
      </text>
    </comment>
    <comment ref="M6" authorId="4" shapeId="0" xr:uid="{00000000-0006-0000-0000-00000D000000}">
      <text>
        <r>
          <rPr>
            <sz val="8"/>
            <color indexed="81"/>
            <rFont val="Tahoma"/>
            <family val="2"/>
          </rPr>
          <t>Remote Control, Battery Powered = RC B
Remote Control, Solar Powered = RC S
Remote Control is not available on External Shutters</t>
        </r>
      </text>
    </comment>
    <comment ref="O6" authorId="5" shapeId="0" xr:uid="{00000000-0006-0000-0000-00000E000000}">
      <text>
        <r>
          <rPr>
            <sz val="10"/>
            <color indexed="81"/>
            <rFont val="Tahoma"/>
            <family val="2"/>
          </rPr>
          <t>Hidden Tilt-rods only available on 64mm, 89mm and 114mm louvres (not available on Remote Control).
"None" should be selected for Solid or Fixed panels.
Skylight shutters can only have a Silent tilt-rod.</t>
        </r>
      </text>
    </comment>
    <comment ref="Q6" authorId="6" shapeId="0" xr:uid="{00000000-0006-0000-0000-00000F000000}">
      <text>
        <r>
          <rPr>
            <sz val="8"/>
            <color indexed="81"/>
            <rFont val="Tahoma"/>
            <family val="2"/>
          </rPr>
          <t xml:space="preserve">Blackout blinds are supplied on a 76mm Vintage Hang Strip frame
</t>
        </r>
      </text>
    </comment>
    <comment ref="S6" authorId="2" shapeId="0" xr:uid="{00000000-0006-0000-0000-000010000000}">
      <text>
        <r>
          <rPr>
            <sz val="9"/>
            <color indexed="81"/>
            <rFont val="Tahoma"/>
            <family val="2"/>
          </rPr>
          <t>Tick this box to quickly set (or clear) all four boxes in the Sides column.
This column is not read when the order is processed.</t>
        </r>
      </text>
    </comment>
    <comment ref="T6" authorId="2" shapeId="0" xr:uid="{00000000-0006-0000-0000-000011000000}">
      <text>
        <r>
          <rPr>
            <sz val="9"/>
            <color indexed="81"/>
            <rFont val="Tahoma"/>
            <family val="2"/>
          </rPr>
          <t>Tick the appropriate boxes for normal frame sides according to the Frame Type chosen</t>
        </r>
      </text>
    </comment>
    <comment ref="U6" authorId="2" shapeId="0" xr:uid="{00000000-0006-0000-0000-000012000000}">
      <text>
        <r>
          <rPr>
            <sz val="9"/>
            <color indexed="81"/>
            <rFont val="Tahoma"/>
            <family val="2"/>
          </rPr>
          <t>Tick the appropriate box when you want a sill plate instead of a normal frame side.
Make sure the corresponding side in the Sides column is unticked.
The style of sill plate will default according to the chosen frame type, unless specified in Short Notes.</t>
        </r>
      </text>
    </comment>
    <comment ref="V6" authorId="7" shapeId="0" xr:uid="{00000000-0006-0000-0000-000013000000}">
      <text>
        <r>
          <rPr>
            <sz val="9"/>
            <color indexed="81"/>
            <rFont val="Tahoma"/>
            <family val="2"/>
          </rPr>
          <t>INTERNAL PANELS: Single panels can only be ordered with 'Butt' style.</t>
        </r>
      </text>
    </comment>
    <comment ref="Y6" authorId="1" shapeId="0" xr:uid="{00000000-0006-0000-0000-000014000000}">
      <text>
        <r>
          <rPr>
            <sz val="11"/>
            <color indexed="81"/>
            <rFont val="Tahoma"/>
            <family val="2"/>
          </rPr>
          <t>If ordering Internal shutters enter how many spare louvres you require.
If Air Freight is chosen for internal shutters 2 spare louvres per different size panel will be delivered, free of charge, in addition to the number you specify here.</t>
        </r>
      </text>
    </comment>
    <comment ref="Z6" authorId="2" shapeId="0" xr:uid="{00000000-0006-0000-0000-000015000000}">
      <text>
        <r>
          <rPr>
            <b/>
            <sz val="8"/>
            <color indexed="81"/>
            <rFont val="Tahoma"/>
            <family val="2"/>
          </rPr>
          <t xml:space="preserve">Choose </t>
        </r>
        <r>
          <rPr>
            <b/>
            <u/>
            <sz val="8"/>
            <color indexed="81"/>
            <rFont val="Tahoma"/>
            <family val="2"/>
          </rPr>
          <t xml:space="preserve">Listed Colour Swatch </t>
        </r>
        <r>
          <rPr>
            <b/>
            <sz val="8"/>
            <color indexed="81"/>
            <rFont val="Tahoma"/>
            <family val="2"/>
          </rPr>
          <t xml:space="preserve">if the colour is :
Dulux Trade Classic
Dulux Trade
Dulux Heritage
Dulux Trade Additions
Ral Classic
Farrow &amp; Ball
Paint &amp; Paper Library (1 and 2 only)
Otherwise choose </t>
        </r>
        <r>
          <rPr>
            <b/>
            <u/>
            <sz val="8"/>
            <color indexed="81"/>
            <rFont val="Tahoma"/>
            <family val="2"/>
          </rPr>
          <t>Other Swatch</t>
        </r>
      </text>
    </comment>
    <comment ref="AE6" authorId="2" shapeId="0" xr:uid="{00000000-0006-0000-0000-000016000000}">
      <text>
        <r>
          <rPr>
            <sz val="10"/>
            <color indexed="81"/>
            <rFont val="Tahoma"/>
            <family val="2"/>
          </rPr>
          <t>Do not enter non-standard configs here.  Type your requirement into the Config column.
The short notes column accepts a maximum of 50 characters.  For more in depth notes, please use the larger box below.</t>
        </r>
      </text>
    </comment>
    <comment ref="B26" authorId="7" shapeId="0" xr:uid="{00000000-0006-0000-0000-000017000000}">
      <text>
        <r>
          <rPr>
            <sz val="11"/>
            <color indexed="81"/>
            <rFont val="Tahoma"/>
            <family val="2"/>
          </rPr>
          <t>Please start a new sheet for additional orders</t>
        </r>
        <r>
          <rPr>
            <b/>
            <sz val="11"/>
            <color indexed="81"/>
            <rFont val="Tahoma"/>
            <family val="2"/>
          </rPr>
          <t xml:space="preserve">
</t>
        </r>
        <r>
          <rPr>
            <sz val="8"/>
            <color indexed="81"/>
            <rFont val="Tahoma"/>
            <family val="2"/>
          </rPr>
          <t xml:space="preserve">
</t>
        </r>
      </text>
    </comment>
    <comment ref="M27" authorId="2" shapeId="0" xr:uid="{00000000-0006-0000-0000-000018000000}">
      <text>
        <r>
          <rPr>
            <sz val="8"/>
            <color indexed="81"/>
            <rFont val="Tahoma"/>
            <family val="2"/>
          </rPr>
          <t>One handset is provided. If more are required please indicate the total quantity here. 
Note: Batteries are not included in price.</t>
        </r>
      </text>
    </comment>
    <comment ref="W27" authorId="2" shapeId="0" xr:uid="{00000000-0006-0000-0000-000019000000}">
      <text>
        <r>
          <rPr>
            <b/>
            <sz val="8"/>
            <color indexed="81"/>
            <rFont val="Tahoma"/>
            <family val="2"/>
          </rPr>
          <t>Type in how many different custom colours are required on whole installation</t>
        </r>
        <r>
          <rPr>
            <sz val="8"/>
            <color indexed="81"/>
            <rFont val="Tahoma"/>
            <family val="2"/>
          </rPr>
          <t xml:space="preserve">
</t>
        </r>
      </text>
    </comment>
    <comment ref="C30" authorId="4" shapeId="0" xr:uid="{00000000-0006-0000-0000-00001A000000}">
      <text>
        <r>
          <rPr>
            <sz val="8"/>
            <color indexed="81"/>
            <rFont val="Tahoma"/>
            <family val="2"/>
          </rPr>
          <t>Specify what type is required for all the T posts specified in the Config</t>
        </r>
      </text>
    </comment>
    <comment ref="D30" authorId="2" shapeId="0" xr:uid="{00000000-0006-0000-0000-00001B000000}">
      <text>
        <r>
          <rPr>
            <sz val="9"/>
            <color indexed="81"/>
            <rFont val="Tahoma"/>
            <family val="2"/>
          </rPr>
          <t>Specify the Bay post required for a the B posts specified in the Config.</t>
        </r>
      </text>
    </comment>
    <comment ref="F30" authorId="2" shapeId="0" xr:uid="{00000000-0006-0000-0000-00001C000000}">
      <text>
        <r>
          <rPr>
            <sz val="9"/>
            <color indexed="81"/>
            <rFont val="Tahoma"/>
            <family val="2"/>
          </rPr>
          <t>Specify the Corner post type required for all the C posts specified in the config.</t>
        </r>
      </text>
    </comment>
    <comment ref="H30" authorId="5" shapeId="0" xr:uid="{00000000-0006-0000-0000-00001D000000}">
      <text>
        <r>
          <rPr>
            <sz val="11"/>
            <color indexed="81"/>
            <rFont val="Tahoma"/>
            <family val="2"/>
          </rPr>
          <t>State whether the bay window measurements are for the front of the shutters set (inside) or the back of the shutter set (outside)</t>
        </r>
      </text>
    </comment>
    <comment ref="I30" authorId="8" shapeId="0" xr:uid="{00000000-0006-0000-0000-00001E000000}">
      <text>
        <r>
          <rPr>
            <u/>
            <sz val="11"/>
            <color indexed="81"/>
            <rFont val="Tahoma"/>
            <family val="2"/>
          </rPr>
          <t>T-POST 1</t>
        </r>
        <r>
          <rPr>
            <b/>
            <sz val="8"/>
            <color indexed="81"/>
            <rFont val="Tahoma"/>
            <family val="2"/>
          </rPr>
          <t xml:space="preserve">
</t>
        </r>
        <r>
          <rPr>
            <sz val="11"/>
            <color indexed="81"/>
            <rFont val="Tahoma"/>
            <family val="2"/>
          </rPr>
          <t>The distance from the left hand point of the OD to the centre point of the 1st vertical T-Post</t>
        </r>
      </text>
    </comment>
    <comment ref="J30" authorId="2" shapeId="0" xr:uid="{00000000-0006-0000-0000-00001F000000}">
      <text>
        <r>
          <rPr>
            <sz val="9"/>
            <color indexed="81"/>
            <rFont val="Tahoma"/>
            <family val="2"/>
          </rPr>
          <t>Angles only need to be specified if a custom bay post has been chosen.</t>
        </r>
      </text>
    </comment>
    <comment ref="AC30" authorId="4" shapeId="0" xr:uid="{00000000-0006-0000-0000-000020000000}">
      <text/>
    </comment>
    <comment ref="B50" authorId="7" shapeId="0" xr:uid="{00000000-0006-0000-0000-000021000000}">
      <text>
        <r>
          <rPr>
            <sz val="11"/>
            <color indexed="81"/>
            <rFont val="Tahoma"/>
            <family val="2"/>
          </rPr>
          <t xml:space="preserve">Please start a new sheet for additional orders.
</t>
        </r>
      </text>
    </comment>
    <comment ref="W53" authorId="4" shapeId="0" xr:uid="{00000000-0006-0000-0000-000022000000}">
      <text>
        <r>
          <rPr>
            <sz val="8"/>
            <color indexed="81"/>
            <rFont val="Tahoma"/>
            <family val="2"/>
          </rPr>
          <t>Batten &amp; build out costs are shown in the order value totals.</t>
        </r>
      </text>
    </comment>
    <comment ref="E54" authorId="2" shapeId="0" xr:uid="{00000000-0006-0000-0000-000023000000}">
      <text>
        <r>
          <rPr>
            <sz val="9"/>
            <color indexed="81"/>
            <rFont val="Tahoma"/>
            <family val="2"/>
          </rPr>
          <t>If additional frame depth is required advise whether required for all or part of the frame elements. If partial please specify in notes or drawing which elements need to be built out.</t>
        </r>
      </text>
    </comment>
    <comment ref="F54" authorId="4" shapeId="0" xr:uid="{00000000-0006-0000-0000-000024000000}">
      <text>
        <r>
          <rPr>
            <sz val="10"/>
            <color indexed="81"/>
            <rFont val="Tahoma"/>
            <family val="2"/>
          </rPr>
          <t xml:space="preserve">Advise the </t>
        </r>
        <r>
          <rPr>
            <b/>
            <sz val="10"/>
            <color indexed="81"/>
            <rFont val="Tahoma"/>
            <family val="2"/>
          </rPr>
          <t>ADDITIONAL</t>
        </r>
        <r>
          <rPr>
            <sz val="10"/>
            <color indexed="81"/>
            <rFont val="Tahoma"/>
            <family val="2"/>
          </rPr>
          <t xml:space="preserve"> depth which needs adding in mm.  Please do NOT advise the total depth of the frame</t>
        </r>
      </text>
    </comment>
    <comment ref="P54" authorId="4" shapeId="0" xr:uid="{00000000-0006-0000-0000-000025000000}">
      <text>
        <r>
          <rPr>
            <sz val="8"/>
            <color indexed="81"/>
            <rFont val="Tahoma"/>
            <family val="2"/>
          </rPr>
          <t>Only required when ordering Custom Battens or Custom Cover Strips</t>
        </r>
      </text>
    </comment>
    <comment ref="Q54" authorId="4" shapeId="0" xr:uid="{00000000-0006-0000-0000-000026000000}">
      <text>
        <r>
          <rPr>
            <sz val="8"/>
            <color indexed="81"/>
            <rFont val="Tahoma"/>
            <family val="2"/>
          </rPr>
          <t>Only required when ordering Custom Battens or Custom Cover Strips</t>
        </r>
      </text>
    </comment>
    <comment ref="Y54" authorId="8" shapeId="0" xr:uid="{00000000-0006-0000-0000-000027000000}">
      <text>
        <r>
          <rPr>
            <sz val="8"/>
            <color indexed="81"/>
            <rFont val="Tahoma"/>
            <family val="2"/>
          </rPr>
          <t>Unit Trade price (£)
(excludes Remote Control)</t>
        </r>
      </text>
    </comment>
    <comment ref="Z54" authorId="8" shapeId="0" xr:uid="{00000000-0006-0000-0000-000028000000}">
      <text>
        <r>
          <rPr>
            <sz val="11"/>
            <color indexed="81"/>
            <rFont val="Tahoma"/>
            <family val="2"/>
          </rPr>
          <t>Cost price after discount + Remote Control &amp; sandblasting if chosen</t>
        </r>
      </text>
    </comment>
    <comment ref="M74" authorId="7" shapeId="0" xr:uid="{00000000-0006-0000-0000-000029000000}">
      <text>
        <r>
          <rPr>
            <sz val="11"/>
            <color indexed="81"/>
            <rFont val="Tahoma"/>
            <family val="2"/>
          </rPr>
          <t xml:space="preserve">Please start a new sheet for additional orders.
</t>
        </r>
      </text>
    </comment>
    <comment ref="B79" authorId="2" shapeId="0" xr:uid="{00000000-0006-0000-0000-00002A000000}">
      <text>
        <r>
          <rPr>
            <b/>
            <sz val="9"/>
            <color indexed="81"/>
            <rFont val="Tahoma"/>
            <family val="2"/>
          </rPr>
          <t>Use Alt+Enter to start a new line</t>
        </r>
      </text>
    </comment>
    <comment ref="M79" authorId="2" shapeId="0" xr:uid="{00000000-0006-0000-0000-00002B000000}">
      <text>
        <r>
          <rPr>
            <sz val="9"/>
            <color indexed="81"/>
            <rFont val="Tahoma"/>
            <family val="2"/>
          </rPr>
          <t>We can ship orders together if you list your reference numbers here</t>
        </r>
      </text>
    </comment>
    <comment ref="W79" authorId="5" shapeId="0" xr:uid="{00000000-0006-0000-0000-00002C000000}">
      <text>
        <r>
          <rPr>
            <sz val="12"/>
            <color indexed="81"/>
            <rFont val="Tahoma"/>
            <family val="2"/>
          </rPr>
          <t>Standard pricing includes shipment by sea. 
Air &amp; Sea/Air shipping is charged as per price list.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C00-000001000000}">
      <text>
        <r>
          <rPr>
            <sz val="10"/>
            <color indexed="81"/>
            <rFont val="Tahoma"/>
            <family val="2"/>
          </rPr>
          <t>T = Tilt but no Hidden
All = All tilt rods
No = No Tilt rod possible
Opt = Tilt rod optional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D00-000001000000}">
      <text>
        <r>
          <rPr>
            <sz val="10"/>
            <color indexed="81"/>
            <rFont val="Tahoma"/>
            <family val="2"/>
          </rPr>
          <t>T = Tilt but no Hidden
All = All tilt rods
No = No Tilt rod possible
Opt = Tilt rod optional</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E00-000001000000}">
      <text>
        <r>
          <rPr>
            <sz val="10"/>
            <color indexed="81"/>
            <rFont val="Tahoma"/>
            <family val="2"/>
          </rPr>
          <t>T = Tilt but no Hidden
All = All tilt rods
No = No Tilt rod possible
Opt = Tilt rod optional</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F00-000001000000}">
      <text>
        <r>
          <rPr>
            <sz val="10"/>
            <color indexed="81"/>
            <rFont val="Tahoma"/>
            <family val="2"/>
          </rPr>
          <t>T = Tilt but no Hidden
All = All tilt rods
No = No Tilt rod possible
Opt = Tilt rod optional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Temp1</author>
    <author>AdamsPC</author>
    <author>Laurence Martin</author>
    <author>Temp</author>
    <author>dcooksey</author>
    <author>John Waldner</author>
    <author>sales</author>
    <author>rupert delamain</author>
    <author>Adam</author>
  </authors>
  <commentList>
    <comment ref="M5" authorId="0" shapeId="0" xr:uid="{00000000-0006-0000-0100-000001000000}">
      <text>
        <r>
          <rPr>
            <b/>
            <sz val="8"/>
            <color indexed="81"/>
            <rFont val="Tahoma"/>
            <family val="2"/>
          </rPr>
          <t>Enter the Alternative address to the right of the Notes section</t>
        </r>
      </text>
    </comment>
    <comment ref="B6" authorId="1" shapeId="0" xr:uid="{00000000-0006-0000-0100-000002000000}">
      <text>
        <r>
          <rPr>
            <u/>
            <sz val="11"/>
            <color indexed="81"/>
            <rFont val="Tahoma"/>
            <family val="2"/>
          </rPr>
          <t>ROOM NAME</t>
        </r>
        <r>
          <rPr>
            <sz val="11"/>
            <color indexed="81"/>
            <rFont val="Tahoma"/>
            <family val="2"/>
          </rPr>
          <t xml:space="preserve">
e.g.
Kitchen
Bedroom 1
</t>
        </r>
      </text>
    </comment>
    <comment ref="C6" authorId="1" shapeId="0" xr:uid="{00000000-0006-0000-0100-000003000000}">
      <text>
        <r>
          <rPr>
            <u/>
            <sz val="11"/>
            <color indexed="81"/>
            <rFont val="Tahoma"/>
            <family val="2"/>
          </rPr>
          <t>MOUNTING TYPE</t>
        </r>
        <r>
          <rPr>
            <sz val="11"/>
            <color indexed="81"/>
            <rFont val="Tahoma"/>
            <family val="2"/>
          </rPr>
          <t xml:space="preserve">
Tier on Tier
Café Style
Full Height
Tracks
Exterior Panel Type
Special Shape (Drawings must be included)</t>
        </r>
      </text>
    </comment>
    <comment ref="D6" authorId="1" shapeId="0" xr:uid="{00000000-0006-0000-0100-000004000000}">
      <text>
        <r>
          <rPr>
            <sz val="11"/>
            <color indexed="81"/>
            <rFont val="Tahoma"/>
            <family val="2"/>
          </rPr>
          <t>Number of items with identical specification</t>
        </r>
      </text>
    </comment>
    <comment ref="E6" authorId="1" shapeId="0" xr:uid="{00000000-0006-0000-0100-000005000000}">
      <text>
        <r>
          <rPr>
            <sz val="10"/>
            <color indexed="81"/>
            <rFont val="Tahoma"/>
            <family val="2"/>
          </rPr>
          <t xml:space="preserve">No more than six panels can be hung from the frame under warranty. For clarification please refer to the manual. The other configurations are for track hung installations.
Free-Float Example: FF/FF is two pairs of free floating panels
By-Pass Example: FBF is three panels centre open-back and BFB is three panels centre open-front.
</t>
        </r>
        <r>
          <rPr>
            <sz val="10"/>
            <color indexed="10"/>
            <rFont val="Tahoma"/>
            <family val="2"/>
          </rPr>
          <t>If a configuration is not selected it is not possible to automatically calculate the Remote Control option.  If a suitable configuration is not listed, please type the required configuration  and if the order is POA (Price on Application) the price will be confirmed in the order confirmation.
Configurations entered in Short Notes will be ignored</t>
        </r>
      </text>
    </comment>
    <comment ref="F6" authorId="1" shapeId="0" xr:uid="{00000000-0006-0000-0100-000006000000}">
      <text>
        <r>
          <rPr>
            <u/>
            <sz val="11"/>
            <color indexed="81"/>
            <rFont val="Tahoma"/>
            <family val="2"/>
          </rPr>
          <t>OD - Outside dimension Width of the frame</t>
        </r>
        <r>
          <rPr>
            <sz val="11"/>
            <color indexed="81"/>
            <rFont val="Tahoma"/>
            <family val="2"/>
          </rPr>
          <t xml:space="preserve"> (In Millimetres)</t>
        </r>
      </text>
    </comment>
    <comment ref="G6" authorId="1" shapeId="0" xr:uid="{00000000-0006-0000-0100-000007000000}">
      <text>
        <r>
          <rPr>
            <u/>
            <sz val="11"/>
            <color indexed="81"/>
            <rFont val="Tahoma"/>
            <family val="2"/>
          </rPr>
          <t xml:space="preserve">OD - Outside Dimension Height of the Frame  </t>
        </r>
        <r>
          <rPr>
            <sz val="11"/>
            <color indexed="81"/>
            <rFont val="Tahoma"/>
            <family val="2"/>
          </rPr>
          <t>(In Millimetres)</t>
        </r>
      </text>
    </comment>
    <comment ref="H6" authorId="2" shapeId="0" xr:uid="{00000000-0006-0000-0100-000008000000}">
      <text>
        <r>
          <rPr>
            <sz val="9"/>
            <color indexed="81"/>
            <rFont val="Tahoma"/>
            <family val="2"/>
          </rPr>
          <t>Leg height is required for some special shapes only</t>
        </r>
      </text>
    </comment>
    <comment ref="I6" authorId="3" shapeId="0" xr:uid="{00000000-0006-0000-0100-000009000000}">
      <text>
        <r>
          <rPr>
            <sz val="12"/>
            <color indexed="81"/>
            <rFont val="Tahoma"/>
            <family val="2"/>
          </rPr>
          <t>MID RAIL POSITION 1
This measurement is determined from the bottom of the shutter set to the centre-point of the rail - in Millimetres, except for solid based shutters.  For solid based shutters, the bottom solid part is to the top of the midrail.
This column is for mid-rails only.  If specifying mounting type Tier-on-Tier, please insert the overall height of the bottom panel set including frame into the T-on-T position column.  Additional tiers should be specified in Notes</t>
        </r>
      </text>
    </comment>
    <comment ref="J6" authorId="3" shapeId="0" xr:uid="{00000000-0006-0000-0100-00000A000000}">
      <text>
        <r>
          <rPr>
            <sz val="12"/>
            <color indexed="81"/>
            <rFont val="Tahoma"/>
            <family val="2"/>
          </rPr>
          <t>MID RAIL POSITION 2
This measurement is determined from the bottom of the shutter set to the centre-point of the second rail, except for solid based shutters.  For solid based shutters, the solid part is to the top of the mid rail.
For Tier-on-Tier installations please insert the overall height of the bottom panel set including frame into the T on T position column.
If you require additional tiers they should be specified in Notes.</t>
        </r>
      </text>
    </comment>
    <comment ref="K6" authorId="2" shapeId="0" xr:uid="{00000000-0006-0000-0100-00000B000000}">
      <text>
        <r>
          <rPr>
            <sz val="9"/>
            <color indexed="81"/>
            <rFont val="Tahoma"/>
            <family val="2"/>
          </rPr>
          <t xml:space="preserve">Only tick this box if the mid-rail has to be exactly where specified.
</t>
        </r>
      </text>
    </comment>
    <comment ref="L6" authorId="2" shapeId="0" xr:uid="{00000000-0006-0000-0100-00000C000000}">
      <text>
        <r>
          <rPr>
            <sz val="9"/>
            <color indexed="81"/>
            <rFont val="Tahoma"/>
            <family val="2"/>
          </rPr>
          <t>For Tier-on-Tier installations please insert the overall height of the bottom panel set including frame into this column.</t>
        </r>
      </text>
    </comment>
    <comment ref="M6" authorId="4" shapeId="0" xr:uid="{00000000-0006-0000-0100-00000D000000}">
      <text>
        <r>
          <rPr>
            <sz val="8"/>
            <color indexed="81"/>
            <rFont val="Tahoma"/>
            <family val="2"/>
          </rPr>
          <t>Remote Control, Battery Powered = RC B
Remote Control, Solar Powered = RC S
Remote Control is not available on External Shutters</t>
        </r>
      </text>
    </comment>
    <comment ref="O6" authorId="5" shapeId="0" xr:uid="{00000000-0006-0000-0100-00000E000000}">
      <text>
        <r>
          <rPr>
            <sz val="10"/>
            <color indexed="81"/>
            <rFont val="Tahoma"/>
            <family val="2"/>
          </rPr>
          <t>Hidden Tilt-rods only available on 64mm, 89mm and 114mm louvres (not available on Remote Control).
"None" should be selected for Solid or Fixed panels.
Skylight shutters can only have a Silent tilt-rod.</t>
        </r>
      </text>
    </comment>
    <comment ref="Q6" authorId="6" shapeId="0" xr:uid="{00000000-0006-0000-0100-00000F000000}">
      <text>
        <r>
          <rPr>
            <sz val="8"/>
            <color indexed="81"/>
            <rFont val="Tahoma"/>
            <family val="2"/>
          </rPr>
          <t xml:space="preserve">Blackout blinds are supplied on a 76mm Vintage Hang Strip frame
</t>
        </r>
      </text>
    </comment>
    <comment ref="S6" authorId="2" shapeId="0" xr:uid="{00000000-0006-0000-0100-000010000000}">
      <text>
        <r>
          <rPr>
            <sz val="9"/>
            <color indexed="81"/>
            <rFont val="Tahoma"/>
            <family val="2"/>
          </rPr>
          <t>Tick this box to quickly set (or clear) all four boxes in the Sides column.
This column is not read when the order is processed.</t>
        </r>
      </text>
    </comment>
    <comment ref="T6" authorId="2" shapeId="0" xr:uid="{00000000-0006-0000-0100-000011000000}">
      <text>
        <r>
          <rPr>
            <sz val="9"/>
            <color indexed="81"/>
            <rFont val="Tahoma"/>
            <family val="2"/>
          </rPr>
          <t>Tick the appropriate boxes for normal frame sides according to the Frame Type chosen</t>
        </r>
      </text>
    </comment>
    <comment ref="U6" authorId="2" shapeId="0" xr:uid="{00000000-0006-0000-0100-000012000000}">
      <text>
        <r>
          <rPr>
            <sz val="9"/>
            <color indexed="81"/>
            <rFont val="Tahoma"/>
            <family val="2"/>
          </rPr>
          <t>Tick the appropriate box when you want a sill plate instead of a normal frame side.
Make sure the corresponding side in the Sides column is unticked.
The style of sill plate will default according to the chosen frame type, unless specified in Short Notes.</t>
        </r>
      </text>
    </comment>
    <comment ref="V6" authorId="7" shapeId="0" xr:uid="{00000000-0006-0000-0100-000013000000}">
      <text>
        <r>
          <rPr>
            <sz val="9"/>
            <color indexed="81"/>
            <rFont val="Tahoma"/>
            <family val="2"/>
          </rPr>
          <t>INTERNAL PANELS: Single panels can only be ordered with 'Butt' style.</t>
        </r>
      </text>
    </comment>
    <comment ref="Y6" authorId="1" shapeId="0" xr:uid="{00000000-0006-0000-0100-000014000000}">
      <text>
        <r>
          <rPr>
            <sz val="11"/>
            <color indexed="81"/>
            <rFont val="Tahoma"/>
            <family val="2"/>
          </rPr>
          <t>If ordering Internal shutters enter how many spare louvres you require.
If Air Freight is chosen for internal shutters 2 spare louvres per different size panel will be delivered, free of charge, in addition to the number you specify here.</t>
        </r>
      </text>
    </comment>
    <comment ref="Z6" authorId="2" shapeId="0" xr:uid="{00000000-0006-0000-0100-000015000000}">
      <text>
        <r>
          <rPr>
            <b/>
            <sz val="8"/>
            <color indexed="81"/>
            <rFont val="Tahoma"/>
            <family val="2"/>
          </rPr>
          <t xml:space="preserve">Choose </t>
        </r>
        <r>
          <rPr>
            <b/>
            <u/>
            <sz val="8"/>
            <color indexed="81"/>
            <rFont val="Tahoma"/>
            <family val="2"/>
          </rPr>
          <t xml:space="preserve">Listed Colour Swatch </t>
        </r>
        <r>
          <rPr>
            <b/>
            <sz val="8"/>
            <color indexed="81"/>
            <rFont val="Tahoma"/>
            <family val="2"/>
          </rPr>
          <t xml:space="preserve">if the colour is :
Dulux Trade Classic
Dulux Trade
Dulux Heritage
Dulux Trade Additions
Ral Classic
Farrow &amp; Ball
Paint &amp; Paper Library (1 and 2 only)
Otherwise choose </t>
        </r>
        <r>
          <rPr>
            <b/>
            <u/>
            <sz val="8"/>
            <color indexed="81"/>
            <rFont val="Tahoma"/>
            <family val="2"/>
          </rPr>
          <t>Other Swatch</t>
        </r>
      </text>
    </comment>
    <comment ref="AE6" authorId="2" shapeId="0" xr:uid="{00000000-0006-0000-0100-000016000000}">
      <text>
        <r>
          <rPr>
            <sz val="10"/>
            <color indexed="81"/>
            <rFont val="Tahoma"/>
            <family val="2"/>
          </rPr>
          <t>Do not enter non-standard configs here.  Type your requirement into the Config column.
The short notes column accepts a maximum of 50 characters.  For more in depth notes, please use the larger box below.</t>
        </r>
      </text>
    </comment>
    <comment ref="B26" authorId="7" shapeId="0" xr:uid="{00000000-0006-0000-0100-000017000000}">
      <text>
        <r>
          <rPr>
            <sz val="11"/>
            <color indexed="81"/>
            <rFont val="Tahoma"/>
            <family val="2"/>
          </rPr>
          <t>Please start a new sheet for additional orders</t>
        </r>
        <r>
          <rPr>
            <b/>
            <sz val="11"/>
            <color indexed="81"/>
            <rFont val="Tahoma"/>
            <family val="2"/>
          </rPr>
          <t xml:space="preserve">
</t>
        </r>
        <r>
          <rPr>
            <sz val="8"/>
            <color indexed="81"/>
            <rFont val="Tahoma"/>
            <family val="2"/>
          </rPr>
          <t xml:space="preserve">
</t>
        </r>
      </text>
    </comment>
    <comment ref="W27" authorId="2" shapeId="0" xr:uid="{00000000-0006-0000-0100-000018000000}">
      <text>
        <r>
          <rPr>
            <b/>
            <sz val="8"/>
            <color indexed="81"/>
            <rFont val="Tahoma"/>
            <family val="2"/>
          </rPr>
          <t>Type in how many different custom colours are required on whole installation</t>
        </r>
        <r>
          <rPr>
            <sz val="8"/>
            <color indexed="81"/>
            <rFont val="Tahoma"/>
            <family val="2"/>
          </rPr>
          <t xml:space="preserve">
</t>
        </r>
      </text>
    </comment>
    <comment ref="C30" authorId="4" shapeId="0" xr:uid="{00000000-0006-0000-0100-000019000000}">
      <text>
        <r>
          <rPr>
            <sz val="8"/>
            <color indexed="81"/>
            <rFont val="Tahoma"/>
            <family val="2"/>
          </rPr>
          <t>Specify what type is required for all the T posts specified in the Config</t>
        </r>
      </text>
    </comment>
    <comment ref="D30" authorId="2" shapeId="0" xr:uid="{00000000-0006-0000-0100-00001A000000}">
      <text>
        <r>
          <rPr>
            <sz val="9"/>
            <color indexed="81"/>
            <rFont val="Tahoma"/>
            <family val="2"/>
          </rPr>
          <t>Specify the Bay post required for a the B posts specified in the Config.</t>
        </r>
      </text>
    </comment>
    <comment ref="F30" authorId="2" shapeId="0" xr:uid="{00000000-0006-0000-0100-00001B000000}">
      <text>
        <r>
          <rPr>
            <sz val="9"/>
            <color indexed="81"/>
            <rFont val="Tahoma"/>
            <family val="2"/>
          </rPr>
          <t>Specify the Corner post type required for all the C posts specified in the config.</t>
        </r>
      </text>
    </comment>
    <comment ref="H30" authorId="5" shapeId="0" xr:uid="{00000000-0006-0000-0100-00001C000000}">
      <text>
        <r>
          <rPr>
            <sz val="11"/>
            <color indexed="81"/>
            <rFont val="Tahoma"/>
            <family val="2"/>
          </rPr>
          <t>State whether the bay window measurements are inside or outside the recess</t>
        </r>
      </text>
    </comment>
    <comment ref="I30" authorId="8" shapeId="0" xr:uid="{00000000-0006-0000-0100-00001D000000}">
      <text>
        <r>
          <rPr>
            <u/>
            <sz val="11"/>
            <color indexed="81"/>
            <rFont val="Tahoma"/>
            <family val="2"/>
          </rPr>
          <t>T-POST 1</t>
        </r>
        <r>
          <rPr>
            <b/>
            <sz val="8"/>
            <color indexed="81"/>
            <rFont val="Tahoma"/>
            <family val="2"/>
          </rPr>
          <t xml:space="preserve">
</t>
        </r>
        <r>
          <rPr>
            <sz val="11"/>
            <color indexed="81"/>
            <rFont val="Tahoma"/>
            <family val="2"/>
          </rPr>
          <t>The distance from the left hand point of the OD to the centre point of the 1st vertical T-Post</t>
        </r>
      </text>
    </comment>
    <comment ref="J30" authorId="2" shapeId="0" xr:uid="{00000000-0006-0000-0100-00001E000000}">
      <text>
        <r>
          <rPr>
            <sz val="9"/>
            <color indexed="81"/>
            <rFont val="Tahoma"/>
            <family val="2"/>
          </rPr>
          <t>Angles only need to be specified if a custom bay post has been chosen.</t>
        </r>
      </text>
    </comment>
    <comment ref="AC30" authorId="4" shapeId="0" xr:uid="{00000000-0006-0000-0100-00001F000000}">
      <text/>
    </comment>
    <comment ref="B50" authorId="7" shapeId="0" xr:uid="{00000000-0006-0000-0100-000020000000}">
      <text>
        <r>
          <rPr>
            <sz val="11"/>
            <color indexed="81"/>
            <rFont val="Tahoma"/>
            <family val="2"/>
          </rPr>
          <t xml:space="preserve">Please start a new sheet for additional orders.
</t>
        </r>
      </text>
    </comment>
    <comment ref="E54" authorId="2" shapeId="0" xr:uid="{00000000-0006-0000-0100-000021000000}">
      <text>
        <r>
          <rPr>
            <sz val="9"/>
            <color indexed="81"/>
            <rFont val="Tahoma"/>
            <family val="2"/>
          </rPr>
          <t>If additional frame depth is required advise whether required for all or part of the frame elements. If partial please specify in notes or drawing which elements need to be built out.</t>
        </r>
      </text>
    </comment>
    <comment ref="F54" authorId="4" shapeId="0" xr:uid="{00000000-0006-0000-0100-000022000000}">
      <text>
        <r>
          <rPr>
            <sz val="10"/>
            <color indexed="81"/>
            <rFont val="Tahoma"/>
            <family val="2"/>
          </rPr>
          <t xml:space="preserve">Advise the </t>
        </r>
        <r>
          <rPr>
            <b/>
            <sz val="10"/>
            <color indexed="81"/>
            <rFont val="Tahoma"/>
            <family val="2"/>
          </rPr>
          <t>ADDITIONAL</t>
        </r>
        <r>
          <rPr>
            <sz val="10"/>
            <color indexed="81"/>
            <rFont val="Tahoma"/>
            <family val="2"/>
          </rPr>
          <t xml:space="preserve"> depth which needs adding in mm.  Please do NOT advise the total depth of the frame</t>
        </r>
      </text>
    </comment>
    <comment ref="P54" authorId="4" shapeId="0" xr:uid="{00000000-0006-0000-0100-000023000000}">
      <text>
        <r>
          <rPr>
            <sz val="8"/>
            <color indexed="81"/>
            <rFont val="Tahoma"/>
            <family val="2"/>
          </rPr>
          <t>Only required when ordering Custom Battens or Custom Cover Strips</t>
        </r>
      </text>
    </comment>
    <comment ref="Q54" authorId="4" shapeId="0" xr:uid="{00000000-0006-0000-0100-000024000000}">
      <text>
        <r>
          <rPr>
            <sz val="8"/>
            <color indexed="81"/>
            <rFont val="Tahoma"/>
            <family val="2"/>
          </rPr>
          <t>Only required when ordering Custom Battens or Custom Cover Strips</t>
        </r>
      </text>
    </comment>
    <comment ref="M74" authorId="7" shapeId="0" xr:uid="{00000000-0006-0000-0100-000025000000}">
      <text>
        <r>
          <rPr>
            <sz val="11"/>
            <color indexed="81"/>
            <rFont val="Tahoma"/>
            <family val="2"/>
          </rPr>
          <t xml:space="preserve">Please start a new sheet for additional orders.
</t>
        </r>
      </text>
    </comment>
    <comment ref="B79" authorId="2" shapeId="0" xr:uid="{00000000-0006-0000-0100-000026000000}">
      <text>
        <r>
          <rPr>
            <b/>
            <sz val="9"/>
            <color indexed="81"/>
            <rFont val="Tahoma"/>
            <family val="2"/>
          </rPr>
          <t>Use Alt+Enter to start a new line</t>
        </r>
      </text>
    </comment>
    <comment ref="M79" authorId="2" shapeId="0" xr:uid="{00000000-0006-0000-0100-000027000000}">
      <text>
        <r>
          <rPr>
            <sz val="9"/>
            <color indexed="81"/>
            <rFont val="Tahoma"/>
            <family val="2"/>
          </rPr>
          <t>We can ship orders together if you list your reference numbers here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sales</author>
  </authors>
  <commentList>
    <comment ref="E14" authorId="0" shapeId="0" xr:uid="{00000000-0006-0000-0500-000001000000}">
      <text>
        <r>
          <rPr>
            <b/>
            <sz val="8"/>
            <color indexed="81"/>
            <rFont val="Tahoma"/>
            <family val="2"/>
          </rPr>
          <t>sales:</t>
        </r>
        <r>
          <rPr>
            <sz val="8"/>
            <color indexed="81"/>
            <rFont val="Tahoma"/>
            <family val="2"/>
          </rPr>
          <t xml:space="preserve">
Manually set to zero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600-000001000000}">
      <text>
        <r>
          <rPr>
            <sz val="10"/>
            <color indexed="81"/>
            <rFont val="Tahoma"/>
            <family val="2"/>
          </rPr>
          <t>T = Tilt but no Hidden
All = All tilt rods
No = No Tilt rod possible
Opt = Tilt rod optional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700-000001000000}">
      <text>
        <r>
          <rPr>
            <sz val="8"/>
            <color indexed="81"/>
            <rFont val="Tahoma"/>
            <family val="2"/>
          </rPr>
          <t>T = Tilt but no Hidden
All = All tilt rods
No = No Tilt rod possible
Opt = Tilt rod optional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800-000001000000}">
      <text>
        <r>
          <rPr>
            <sz val="10"/>
            <color indexed="81"/>
            <rFont val="Tahoma"/>
            <family val="2"/>
          </rPr>
          <t>T = Tilt but no Hidden
All = All tilt rods
No = No Tilt rod possible
Opt = Tilt rod optional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900-000001000000}">
      <text>
        <r>
          <rPr>
            <sz val="10"/>
            <color indexed="81"/>
            <rFont val="Tahoma"/>
            <family val="2"/>
          </rPr>
          <t>T = Tilt but no Hidden
All = All tilt rods
No = No Tilt rod possible
Opt = Tilt rod optional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A00-000001000000}">
      <text>
        <r>
          <rPr>
            <sz val="10"/>
            <color indexed="81"/>
            <rFont val="Tahoma"/>
            <family val="2"/>
          </rPr>
          <t>T = Tilt but no Hidden
All = All tilt rods
No = No Tilt rod possible
Opt = Tilt rod optional</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temp</author>
  </authors>
  <commentList>
    <comment ref="F2" authorId="0" shapeId="0" xr:uid="{00000000-0006-0000-0B00-000001000000}">
      <text>
        <r>
          <rPr>
            <sz val="10"/>
            <color indexed="81"/>
            <rFont val="Tahoma"/>
            <family val="2"/>
          </rPr>
          <t>T = Tilt but no Hidden
All = All tilt rods
No = No Tilt rod possible
Opt = Tilt rod optional</t>
        </r>
      </text>
    </comment>
  </commentList>
</comments>
</file>

<file path=xl/sharedStrings.xml><?xml version="1.0" encoding="utf-8"?>
<sst xmlns="http://schemas.openxmlformats.org/spreadsheetml/2006/main" count="4228" uniqueCount="878">
  <si>
    <t>Room</t>
  </si>
  <si>
    <t>Louvre</t>
  </si>
  <si>
    <t>Colour</t>
  </si>
  <si>
    <t>Mounting Type</t>
  </si>
  <si>
    <t>Tier on tier</t>
  </si>
  <si>
    <t>Full height</t>
  </si>
  <si>
    <t>Café style</t>
  </si>
  <si>
    <t>Item</t>
  </si>
  <si>
    <t>Qty</t>
  </si>
  <si>
    <t>Dealer Name:</t>
  </si>
  <si>
    <t>Discount:</t>
  </si>
  <si>
    <t>Total</t>
  </si>
  <si>
    <t>Total ex VAT</t>
  </si>
  <si>
    <t>VAT</t>
  </si>
  <si>
    <t>Config.</t>
  </si>
  <si>
    <t>Rebated/
D-mould</t>
  </si>
  <si>
    <t>Hinge Color</t>
  </si>
  <si>
    <t>L</t>
  </si>
  <si>
    <t>R</t>
  </si>
  <si>
    <t>LL</t>
  </si>
  <si>
    <t>RR</t>
  </si>
  <si>
    <t>LR</t>
  </si>
  <si>
    <t>LLR</t>
  </si>
  <si>
    <t>LRR</t>
  </si>
  <si>
    <t>LLRR</t>
  </si>
  <si>
    <t>Panels</t>
  </si>
  <si>
    <t>Frame type</t>
  </si>
  <si>
    <t>Please note that prices on this order form are a guide only and may be corrected on order and are subject to standard specifications</t>
  </si>
  <si>
    <t>Pearl</t>
  </si>
  <si>
    <t>Width</t>
  </si>
  <si>
    <t>Height</t>
  </si>
  <si>
    <t>Dist</t>
  </si>
  <si>
    <t>LRRR</t>
  </si>
  <si>
    <t>LLLR</t>
  </si>
  <si>
    <t>LLLRR</t>
  </si>
  <si>
    <t>LLRRR</t>
  </si>
  <si>
    <t>LLLRRR</t>
  </si>
  <si>
    <t>Bisque</t>
  </si>
  <si>
    <t>White</t>
  </si>
  <si>
    <t>T-Posts</t>
  </si>
  <si>
    <t>Colour type</t>
  </si>
  <si>
    <t>Actual Discount % for this doc</t>
  </si>
  <si>
    <t>Basic £</t>
  </si>
  <si>
    <t>Meters 2</t>
  </si>
  <si>
    <t>FINAL COST</t>
  </si>
  <si>
    <t>Quantity</t>
  </si>
  <si>
    <t>FINAL UNIT PRICE</t>
  </si>
  <si>
    <t>Bright Brass</t>
  </si>
  <si>
    <t>Deposit required (from non-account holders)</t>
  </si>
  <si>
    <t>47mm</t>
  </si>
  <si>
    <t>89mm</t>
  </si>
  <si>
    <t>Customer Name:</t>
  </si>
  <si>
    <t>Notes</t>
  </si>
  <si>
    <t>Length</t>
  </si>
  <si>
    <t>No. of Window Openings</t>
  </si>
  <si>
    <t>Mounting Factor</t>
  </si>
  <si>
    <t>T on T</t>
  </si>
  <si>
    <t>Antique Brass</t>
  </si>
  <si>
    <t>Stainless Steel</t>
  </si>
  <si>
    <t>Delivery</t>
  </si>
  <si>
    <t>IMPORTANT INFORMATION</t>
  </si>
  <si>
    <t>Orders will be delayed if cells are void of data. Orders requiring templates will not go into production until drawings are 'signed off'.</t>
  </si>
  <si>
    <t>Unit</t>
  </si>
  <si>
    <t>Installation Style</t>
  </si>
  <si>
    <t>S</t>
  </si>
  <si>
    <t>C</t>
  </si>
  <si>
    <t>Colour Charge</t>
  </si>
  <si>
    <t>Louvre Charge</t>
  </si>
  <si>
    <t>Hardware Charge</t>
  </si>
  <si>
    <t>Range Name:</t>
  </si>
  <si>
    <t>CT</t>
  </si>
  <si>
    <t>M_T</t>
  </si>
  <si>
    <t>lv</t>
  </si>
  <si>
    <t>Trade Price</t>
  </si>
  <si>
    <t>Custom Colour</t>
  </si>
  <si>
    <t>114mm</t>
  </si>
  <si>
    <t>ft</t>
  </si>
  <si>
    <t>TPosts</t>
  </si>
  <si>
    <t>Dealer Order No:</t>
  </si>
  <si>
    <t xml:space="preserve">This Order Card is to be filled out on the PC as important information is displayed in 'comment boxes and 'drop down menus. </t>
  </si>
  <si>
    <t>Plain L</t>
  </si>
  <si>
    <t>Solid Shaker</t>
  </si>
  <si>
    <t>Solid Raised</t>
  </si>
  <si>
    <t>Gloss</t>
  </si>
  <si>
    <t>001-Pure White</t>
  </si>
  <si>
    <t>Matt</t>
  </si>
  <si>
    <t>002-Extra White</t>
  </si>
  <si>
    <t>003-Silk White</t>
  </si>
  <si>
    <t>Black</t>
  </si>
  <si>
    <t>004-Bright White</t>
  </si>
  <si>
    <t>006-Pearl</t>
  </si>
  <si>
    <t>007-Ivory Lace</t>
  </si>
  <si>
    <t>008-Marshmallow</t>
  </si>
  <si>
    <t>009-Creamy</t>
  </si>
  <si>
    <t>011-Cameo</t>
  </si>
  <si>
    <t>012-Crisp Linen</t>
  </si>
  <si>
    <t>013-Bisque</t>
  </si>
  <si>
    <t>014-Alabaster</t>
  </si>
  <si>
    <t>016-Butter</t>
  </si>
  <si>
    <t>019-String</t>
  </si>
  <si>
    <t>108-Rustic Gray</t>
  </si>
  <si>
    <t>109-Weathered Teak</t>
  </si>
  <si>
    <t>110-Limed White</t>
  </si>
  <si>
    <t>202-Golden Oak</t>
  </si>
  <si>
    <t>204-Oak Mantel</t>
  </si>
  <si>
    <t>205-Goldenrod</t>
  </si>
  <si>
    <t>211-Cherry</t>
  </si>
  <si>
    <t>212-Dark Teak</t>
  </si>
  <si>
    <t>214-Cocoa</t>
  </si>
  <si>
    <t>215-Cordovan</t>
  </si>
  <si>
    <t>220-New Ebony</t>
  </si>
  <si>
    <t>221-Black Walnut</t>
  </si>
  <si>
    <t>Matt Sandblasted</t>
  </si>
  <si>
    <t>Standard Sandblasted</t>
  </si>
  <si>
    <t>Gloss Sandblasted</t>
  </si>
  <si>
    <t>POA</t>
  </si>
  <si>
    <t>Gloss Charge</t>
  </si>
  <si>
    <t>Tilt-Rod Charge</t>
  </si>
  <si>
    <t>Meters 3</t>
  </si>
  <si>
    <t>Sea</t>
  </si>
  <si>
    <t>Air</t>
  </si>
  <si>
    <t>TRUE/FALSE</t>
  </si>
  <si>
    <t>RC charge</t>
  </si>
  <si>
    <t>Handsets</t>
  </si>
  <si>
    <t>LLLLR</t>
  </si>
  <si>
    <t>LRRRR</t>
  </si>
  <si>
    <t>LLLLRR</t>
  </si>
  <si>
    <t>LLRRRR</t>
  </si>
  <si>
    <t>LLLLRRR</t>
  </si>
  <si>
    <t>LLLRRRR</t>
  </si>
  <si>
    <t>LLLLRRRR</t>
  </si>
  <si>
    <t>Standard (default)</t>
  </si>
  <si>
    <t>Special Shape</t>
  </si>
  <si>
    <t>Installation Charge</t>
  </si>
  <si>
    <t>LLLL</t>
  </si>
  <si>
    <t>RRRR</t>
  </si>
  <si>
    <t>Depth</t>
  </si>
  <si>
    <t>Wood Type</t>
  </si>
  <si>
    <t>Form Type</t>
  </si>
  <si>
    <t>OD</t>
  </si>
  <si>
    <t>Wood Types</t>
  </si>
  <si>
    <t>OP</t>
  </si>
  <si>
    <t>Frame Only</t>
  </si>
  <si>
    <t>Form</t>
  </si>
  <si>
    <t>001-Pure white</t>
  </si>
  <si>
    <t>003-Silk white</t>
  </si>
  <si>
    <t>004-Bright white</t>
  </si>
  <si>
    <t>b_</t>
  </si>
  <si>
    <t>cr_</t>
  </si>
  <si>
    <t>p_</t>
  </si>
  <si>
    <t>sub-Total</t>
  </si>
  <si>
    <t>Total Cost</t>
  </si>
  <si>
    <t>Trade Cost</t>
  </si>
  <si>
    <t>Tilt Rod Options</t>
  </si>
  <si>
    <t>Wood prefix</t>
  </si>
  <si>
    <t>Prefix</t>
  </si>
  <si>
    <t>Material</t>
  </si>
  <si>
    <t>Installation</t>
  </si>
  <si>
    <t>SC Order #:</t>
  </si>
  <si>
    <t>SC Account #:</t>
  </si>
  <si>
    <t>Order Processed:</t>
  </si>
  <si>
    <t>PANELS</t>
  </si>
  <si>
    <t>Panels &amp; Frame (OD)</t>
  </si>
  <si>
    <t>Panels Only (OP)</t>
  </si>
  <si>
    <t>Frame</t>
  </si>
  <si>
    <t>227-Red Oak</t>
  </si>
  <si>
    <t>229-Rich Walnut</t>
  </si>
  <si>
    <t>230-Old Teak</t>
  </si>
  <si>
    <t>Hidden/No Tilt Rod available</t>
  </si>
  <si>
    <t>No</t>
  </si>
  <si>
    <t>T</t>
  </si>
  <si>
    <t>All</t>
  </si>
  <si>
    <t xml:space="preserve"> Panels SqM</t>
  </si>
  <si>
    <t>Charge on width</t>
  </si>
  <si>
    <t>Charge on height</t>
  </si>
  <si>
    <t>Track bi-fold (Inside)</t>
  </si>
  <si>
    <t>Track bi-fold (Semi)</t>
  </si>
  <si>
    <t>Track bi-fold (Outside)</t>
  </si>
  <si>
    <t>Top-Track Only</t>
  </si>
  <si>
    <t>140mm Track top &amp; sides</t>
  </si>
  <si>
    <t>160mm Track top &amp; sides</t>
  </si>
  <si>
    <t>200mm Track top &amp; sides</t>
  </si>
  <si>
    <t>Track Closed By-pass (Semi)</t>
  </si>
  <si>
    <t>Track Closed By-pass (In)</t>
  </si>
  <si>
    <t>Track Closed By-pass (Out)</t>
  </si>
  <si>
    <t>Track Open By-pass (In)</t>
  </si>
  <si>
    <t>Track Open By-pass (Semi)</t>
  </si>
  <si>
    <t>Track Open By-pass (Out)</t>
  </si>
  <si>
    <t>Order Card</t>
  </si>
  <si>
    <t>Total CuM</t>
  </si>
  <si>
    <t>Mounting Charge</t>
  </si>
  <si>
    <t>Frame Charge</t>
  </si>
  <si>
    <t>Build Out Options</t>
  </si>
  <si>
    <t>Build out size</t>
  </si>
  <si>
    <t>Solid Raised double</t>
  </si>
  <si>
    <t>Butt 41mm</t>
  </si>
  <si>
    <t>Rebate 41mm</t>
  </si>
  <si>
    <t>Butt 51mm</t>
  </si>
  <si>
    <t>Rebate 51mm</t>
  </si>
  <si>
    <t>D Mould 41mm</t>
  </si>
  <si>
    <t>D Mould 51mm</t>
  </si>
  <si>
    <t>Insert T 76mm</t>
  </si>
  <si>
    <t>90º Post 50mm</t>
  </si>
  <si>
    <t>90º Post 37mm</t>
  </si>
  <si>
    <t>135º Post 50mm</t>
  </si>
  <si>
    <t>135º Post 37mm</t>
  </si>
  <si>
    <t>Centre</t>
  </si>
  <si>
    <t>None</t>
  </si>
  <si>
    <t>Offset</t>
  </si>
  <si>
    <t>Insert L 50mm</t>
  </si>
  <si>
    <t>Insert L 63mm</t>
  </si>
  <si>
    <t>Insert L 76mm</t>
  </si>
  <si>
    <t>Camber Deco</t>
  </si>
  <si>
    <t>Hang Strip w/insert 31mm</t>
  </si>
  <si>
    <t>Hang Strip w/insert 50mm</t>
  </si>
  <si>
    <t>Hang Strip w/insert 63mm</t>
  </si>
  <si>
    <t>Hang Strip w/insert 76mm</t>
  </si>
  <si>
    <t>114mm Track top &amp; sides</t>
  </si>
  <si>
    <t>Beaded L 50mm</t>
  </si>
  <si>
    <t>Beaded L 63mm</t>
  </si>
  <si>
    <t>Beaded L 76mm</t>
  </si>
  <si>
    <t>Crown Z</t>
  </si>
  <si>
    <t>Tiara Z</t>
  </si>
  <si>
    <t>Beaded L 46mm</t>
  </si>
  <si>
    <t>Beaded L 60mm</t>
  </si>
  <si>
    <t>Bullnose L 46mm</t>
  </si>
  <si>
    <t>Bullnose L 60mm</t>
  </si>
  <si>
    <t>Bullnose L 76mm</t>
  </si>
  <si>
    <t>Insert L 46mm</t>
  </si>
  <si>
    <t>Insert L 60mm</t>
  </si>
  <si>
    <t>Hang Strip w/insert 27mm</t>
  </si>
  <si>
    <t>90º Post 46mm</t>
  </si>
  <si>
    <t>90º Post 32mm</t>
  </si>
  <si>
    <t>135º Post 46mm</t>
  </si>
  <si>
    <t>135º Post 32mm</t>
  </si>
  <si>
    <t xml:space="preserve">Shipping </t>
  </si>
  <si>
    <t>Shipping</t>
  </si>
  <si>
    <t>Batten &amp; Cover Strip sizes</t>
  </si>
  <si>
    <t>Tilt-rod surchage</t>
  </si>
  <si>
    <t>Custom Batten</t>
  </si>
  <si>
    <t>25 x 40</t>
  </si>
  <si>
    <t>25 x 30</t>
  </si>
  <si>
    <t>Cost</t>
  </si>
  <si>
    <t>Battens CuM</t>
  </si>
  <si>
    <t>Build-out</t>
  </si>
  <si>
    <t>Sides</t>
  </si>
  <si>
    <t>Uprights</t>
  </si>
  <si>
    <t>horizontals</t>
  </si>
  <si>
    <t>Horizontals</t>
  </si>
  <si>
    <t>Battens &amp; Cover Strips</t>
  </si>
  <si>
    <t>Build-out CuM</t>
  </si>
  <si>
    <t>Frame CuM</t>
  </si>
  <si>
    <t>Frame Size</t>
  </si>
  <si>
    <t>Shipping cost</t>
  </si>
  <si>
    <t>Trade price</t>
  </si>
  <si>
    <t>Min charge</t>
  </si>
  <si>
    <t>Delivery Charge</t>
  </si>
  <si>
    <t>Sandblasted</t>
  </si>
  <si>
    <t>Sandblasting</t>
  </si>
  <si>
    <r>
      <t>Panels M</t>
    </r>
    <r>
      <rPr>
        <b/>
        <vertAlign val="superscript"/>
        <sz val="11"/>
        <color indexed="43"/>
        <rFont val="Arial"/>
        <family val="2"/>
      </rPr>
      <t>2</t>
    </r>
  </si>
  <si>
    <t>Complete</t>
  </si>
  <si>
    <t>COSTS PER LINE</t>
  </si>
  <si>
    <t>Battens cost</t>
  </si>
  <si>
    <t xml:space="preserve">Shipping Mode: </t>
  </si>
  <si>
    <t>Total Cum</t>
  </si>
  <si>
    <t>Shuttercraft Ltd t/a S:CRAFT</t>
  </si>
  <si>
    <t>Open Bypass options</t>
  </si>
  <si>
    <t>Open Bypass Options</t>
  </si>
  <si>
    <t>width</t>
  </si>
  <si>
    <t>depth</t>
  </si>
  <si>
    <t>length</t>
  </si>
  <si>
    <t>Charge on height or length</t>
  </si>
  <si>
    <t>Post charge on length</t>
  </si>
  <si>
    <t>Bullnose Z 38mm</t>
  </si>
  <si>
    <t>Beaded Z</t>
  </si>
  <si>
    <t>Colonial L 50mm</t>
  </si>
  <si>
    <t>Colonial L 63mm</t>
  </si>
  <si>
    <t>Colonial L 76mm</t>
  </si>
  <si>
    <t>Bullnose L 50mm</t>
  </si>
  <si>
    <t>Bullnose L 63mm</t>
  </si>
  <si>
    <t>Hang Strip Trad. 31mm</t>
  </si>
  <si>
    <t>Solid base/47mm</t>
  </si>
  <si>
    <t>Solid base/89mm</t>
  </si>
  <si>
    <t>Solid base/114mm</t>
  </si>
  <si>
    <t>Partial</t>
  </si>
  <si>
    <t>CedarWood</t>
  </si>
  <si>
    <t>BassWood</t>
  </si>
  <si>
    <t>Sandblast cost</t>
  </si>
  <si>
    <t>LLL</t>
  </si>
  <si>
    <t>RRR</t>
  </si>
  <si>
    <t>Frame Length</t>
  </si>
  <si>
    <t>Post Length</t>
  </si>
  <si>
    <t>Frame only</t>
  </si>
  <si>
    <t>Battens total</t>
  </si>
  <si>
    <t>Battens</t>
  </si>
  <si>
    <t>Please save &amp; send this order to sales@s-craft.co.uk</t>
  </si>
  <si>
    <t>Custom angle(s)</t>
  </si>
  <si>
    <t>co_</t>
  </si>
  <si>
    <t>Promotion Discount</t>
  </si>
  <si>
    <t>No RC Louvres (for tier on tier)</t>
  </si>
  <si>
    <t>89mm RC B</t>
  </si>
  <si>
    <t>VAT rate for Customer:</t>
  </si>
  <si>
    <t>VAT Rate for Customer:</t>
  </si>
  <si>
    <t>RC Batt Cost</t>
  </si>
  <si>
    <t>RC Solar Cost</t>
  </si>
  <si>
    <t>RC Handset Cost</t>
  </si>
  <si>
    <t>Louvre Sections /Unit</t>
  </si>
  <si>
    <t>Stile for S/Shaker</t>
  </si>
  <si>
    <t>Bifold with RC</t>
  </si>
  <si>
    <t>n/a</t>
  </si>
  <si>
    <t>Promo Discount</t>
  </si>
  <si>
    <t>Substrate Promo</t>
  </si>
  <si>
    <t>47mm Fixed Louvre Closed Up</t>
  </si>
  <si>
    <t>47mm Fixed Louvre Closed Down</t>
  </si>
  <si>
    <t>114mm Fixed Louvre Closed Up</t>
  </si>
  <si>
    <t>114mm Fixed Louvre Closed Down</t>
  </si>
  <si>
    <t>47mm Fixed Louvre Open Up</t>
  </si>
  <si>
    <t>47mm Fixed Louvre Open Down</t>
  </si>
  <si>
    <t>89mm Fixed Louvre Open Up</t>
  </si>
  <si>
    <t>89mm Fixed Louvre Open Down</t>
  </si>
  <si>
    <t>114mm Fixed Louvre Open Up</t>
  </si>
  <si>
    <t>114mm Fixed Louvre Open Down</t>
  </si>
  <si>
    <t>89mm Fixed Louvre Closed Up</t>
  </si>
  <si>
    <t>89mm Fixed Louvre Closed Down</t>
  </si>
  <si>
    <t>Spare Louvres</t>
  </si>
  <si>
    <t>Spare Louvre</t>
  </si>
  <si>
    <t>Additional size</t>
  </si>
  <si>
    <t>Frame length</t>
  </si>
  <si>
    <t>Addn m2</t>
  </si>
  <si>
    <t>Addn Cost</t>
  </si>
  <si>
    <t>135º Post 46mm Insert</t>
  </si>
  <si>
    <t>Additional Frame Materials (not in use)</t>
  </si>
  <si>
    <t>Additional Frame</t>
  </si>
  <si>
    <t>Brushed Nickel Plated</t>
  </si>
  <si>
    <t>Nickel Plated</t>
  </si>
  <si>
    <t>Blackout blind (Banana Cream)</t>
  </si>
  <si>
    <t>Blackout blind (Bud Green)</t>
  </si>
  <si>
    <t>Blackout blind (Deep Cobalt)</t>
  </si>
  <si>
    <t>Blackout blind (Khaki)</t>
  </si>
  <si>
    <t>Blackout blind (Pebble White)</t>
  </si>
  <si>
    <t>Blackout blind (Taupe)</t>
  </si>
  <si>
    <t>Blackout blind (Whipped Butter)</t>
  </si>
  <si>
    <t>Free-Floating Track (In)</t>
  </si>
  <si>
    <t>Free-Floating Track (Semi)</t>
  </si>
  <si>
    <t>Free-Floating Track (Out)</t>
  </si>
  <si>
    <t>Free-Float</t>
  </si>
  <si>
    <t>FF/FF</t>
  </si>
  <si>
    <t>FF/FF/FF</t>
  </si>
  <si>
    <t>FFF/FFF</t>
  </si>
  <si>
    <t>FF/FF/FF/FF</t>
  </si>
  <si>
    <t>FFFF/FFFF</t>
  </si>
  <si>
    <t>Black-out charge</t>
  </si>
  <si>
    <t>Charge on height, length</t>
  </si>
  <si>
    <t>Blackout Blinds</t>
  </si>
  <si>
    <t>Blackout blind (Ash) Inside</t>
  </si>
  <si>
    <t>Blackout blind (Ash) Outside</t>
  </si>
  <si>
    <t>Blackout blind (Banana Cream) Inside</t>
  </si>
  <si>
    <t>Blackout blind (Banana Cream) Outside</t>
  </si>
  <si>
    <t>Blackout blind (Bud Green) Inside</t>
  </si>
  <si>
    <t>Blackout blind (Bud Green) Outside</t>
  </si>
  <si>
    <t>Blackout blind (Deep Cobalt) Inside</t>
  </si>
  <si>
    <t>Blackout blind (Deep Cobalt) Outside</t>
  </si>
  <si>
    <t>Blackout blind (Khaki) Inside</t>
  </si>
  <si>
    <t>Blackout blind (Khaki) Outside</t>
  </si>
  <si>
    <t>Blackout blind (Pebble White) Inside</t>
  </si>
  <si>
    <t>Blackout blind (Pebble White) Outside</t>
  </si>
  <si>
    <t>Blackout blind (Taupe) Inside</t>
  </si>
  <si>
    <t>Blackout blind (Taupe) Outside</t>
  </si>
  <si>
    <t>Blackout blind (Whipped Butter) Inside</t>
  </si>
  <si>
    <t>Blackout blind (Whipped Butter) Outside</t>
  </si>
  <si>
    <t>Hang Strip w/insert 46mm</t>
  </si>
  <si>
    <t>Hang Strip w/insert 60mm</t>
  </si>
  <si>
    <t>Insert T 60mm</t>
  </si>
  <si>
    <t>Insert T 46mm</t>
  </si>
  <si>
    <t>237-Wenge</t>
  </si>
  <si>
    <t>60mm Flat</t>
  </si>
  <si>
    <t>Short Notes (not config)</t>
  </si>
  <si>
    <t>F</t>
  </si>
  <si>
    <t>?</t>
  </si>
  <si>
    <t>Yes/No</t>
  </si>
  <si>
    <t>Yes</t>
  </si>
  <si>
    <t>Extended Stiles</t>
  </si>
  <si>
    <t>Top</t>
  </si>
  <si>
    <t>Bottom</t>
  </si>
  <si>
    <t>Top &amp; Bottom</t>
  </si>
  <si>
    <t>032-Sea Mist</t>
  </si>
  <si>
    <t>Plain L Deep</t>
  </si>
  <si>
    <t>Silent</t>
  </si>
  <si>
    <t>Final Date</t>
  </si>
  <si>
    <t>Hang Strip w/insert 30mm</t>
  </si>
  <si>
    <t>Old Frames</t>
  </si>
  <si>
    <t>Old Posts</t>
  </si>
  <si>
    <t>Additional Frame mm</t>
  </si>
  <si>
    <t>Uprights for Building out</t>
  </si>
  <si>
    <t>Horizontals for Building out</t>
  </si>
  <si>
    <t>S:CRAFT EDR Order</t>
  </si>
  <si>
    <t>S:CRAFT EDR Order no.</t>
  </si>
  <si>
    <t>S:CRAFT Account no.</t>
  </si>
  <si>
    <t>EDR Order Date</t>
  </si>
  <si>
    <t>Original S:CRAFT Order No.</t>
  </si>
  <si>
    <t>Customer Name</t>
  </si>
  <si>
    <t>Dealer Order No</t>
  </si>
  <si>
    <t>Please ensure all boxes above are completed. Please type your report and email to support@s-craft.co.uk</t>
  </si>
  <si>
    <t>DETAILS OF ERROR / DAMAGE</t>
  </si>
  <si>
    <t>REMEDIAL ACTION REQUESTED</t>
  </si>
  <si>
    <t>REMEDIAL ACTION TAKEN BY S:CRAFT</t>
  </si>
  <si>
    <t>Special Notes</t>
  </si>
  <si>
    <t xml:space="preserve">This remedy is </t>
  </si>
  <si>
    <t>to be covered under warranty.</t>
  </si>
  <si>
    <t>Please attach digital photographs with your report to illustrate the problem.</t>
  </si>
  <si>
    <t>Please also attach the original order and any drawings that may assist in resolving the problem</t>
  </si>
  <si>
    <t>This order is:</t>
  </si>
  <si>
    <t>Freight Method</t>
  </si>
  <si>
    <t>Net Product Value</t>
  </si>
  <si>
    <t>under warranty</t>
  </si>
  <si>
    <t>Net Freight Value</t>
  </si>
  <si>
    <t>Total Value (Inc VAT)</t>
  </si>
  <si>
    <t>The order cost is covered by</t>
  </si>
  <si>
    <t>Please ship order by</t>
  </si>
  <si>
    <t>Extras</t>
  </si>
  <si>
    <t>Extras cost</t>
  </si>
  <si>
    <t>Extras Text</t>
  </si>
  <si>
    <t>Plain L 46mm</t>
  </si>
  <si>
    <t>Bullnose Z</t>
  </si>
  <si>
    <t>Hang Strip Trad. 22mm</t>
  </si>
  <si>
    <t>F/F</t>
  </si>
  <si>
    <t>Café Style</t>
  </si>
  <si>
    <t>84mm Flat</t>
  </si>
  <si>
    <t>232-Red Mahogany</t>
  </si>
  <si>
    <t>PearlWood</t>
  </si>
  <si>
    <t>pl_</t>
  </si>
  <si>
    <t>Deliver to Address</t>
  </si>
  <si>
    <t>Plain L Deep  63mm w/insert</t>
  </si>
  <si>
    <t>Plain L Deep 63mm w/insert</t>
  </si>
  <si>
    <t>31mm</t>
  </si>
  <si>
    <t>Cost/m</t>
  </si>
  <si>
    <t>135º Post 32mm Insert</t>
  </si>
  <si>
    <t>Minimum</t>
  </si>
  <si>
    <t>ROOM</t>
  </si>
  <si>
    <t>REASON CODE</t>
  </si>
  <si>
    <t>LINE</t>
  </si>
  <si>
    <t>048-Chai</t>
  </si>
  <si>
    <t>049-Stone Grey</t>
  </si>
  <si>
    <t>051-Brown Grey</t>
  </si>
  <si>
    <t>053-Clay</t>
  </si>
  <si>
    <t>064-Wonston 203</t>
  </si>
  <si>
    <t>065-Micheldever 208</t>
  </si>
  <si>
    <t>066-Winchester White 2010</t>
  </si>
  <si>
    <t>067-Candover White 2012</t>
  </si>
  <si>
    <t>068-Popham 2013</t>
  </si>
  <si>
    <t>069-Worthy White 226</t>
  </si>
  <si>
    <t>070-Stockbridge White 201</t>
  </si>
  <si>
    <t>071-Barnes 15</t>
  </si>
  <si>
    <t>072-Mattingley 267</t>
  </si>
  <si>
    <t>862-French Oak</t>
  </si>
  <si>
    <t>114-Taupe</t>
  </si>
  <si>
    <t>219-Mahogany</t>
  </si>
  <si>
    <t>2.5 x 27</t>
  </si>
  <si>
    <t>3 x 15</t>
  </si>
  <si>
    <t>3 x 20</t>
  </si>
  <si>
    <t>3 x 30</t>
  </si>
  <si>
    <t>3 x 60</t>
  </si>
  <si>
    <t>5 x 45</t>
  </si>
  <si>
    <t>5 x 63.5</t>
  </si>
  <si>
    <t>30 x 40</t>
  </si>
  <si>
    <t>40 x 40</t>
  </si>
  <si>
    <t>Solid base/31mm</t>
  </si>
  <si>
    <t>Custom Min</t>
  </si>
  <si>
    <t>cp_</t>
  </si>
  <si>
    <t>5 x 15 Cover Strip</t>
  </si>
  <si>
    <t>5 x 25 Cover Strip</t>
  </si>
  <si>
    <t>Bali</t>
  </si>
  <si>
    <t>Plain L 50mm</t>
  </si>
  <si>
    <t>Minumum2</t>
  </si>
  <si>
    <t>Frame Type</t>
  </si>
  <si>
    <t>Hang Strip w/insert 22mm</t>
  </si>
  <si>
    <t>Sumatra</t>
  </si>
  <si>
    <t>s_</t>
  </si>
  <si>
    <t>Retail Price</t>
  </si>
  <si>
    <t>Trade Charge on width</t>
  </si>
  <si>
    <t>Trade Blackout Cost</t>
  </si>
  <si>
    <t>Trade Post charge on length</t>
  </si>
  <si>
    <t>Beaded Z 31mm</t>
  </si>
  <si>
    <t>Minimum2</t>
  </si>
  <si>
    <t>ce_</t>
  </si>
  <si>
    <t>Sea (with other orders)</t>
  </si>
  <si>
    <t>Air (with other orders)</t>
  </si>
  <si>
    <t>No of Posts</t>
  </si>
  <si>
    <t>Listed Colour Swatch (Paint)</t>
  </si>
  <si>
    <t>Listed Colour Swatch (Stain)</t>
  </si>
  <si>
    <t>Other Swatch (Paint)</t>
  </si>
  <si>
    <t>Other Swatch (Stain)</t>
  </si>
  <si>
    <t>Butt 57mm</t>
  </si>
  <si>
    <t>Rebate 57mm</t>
  </si>
  <si>
    <t>D Mould 57mm</t>
  </si>
  <si>
    <t>Fiji</t>
  </si>
  <si>
    <t>Custom Angle Post 37mm</t>
  </si>
  <si>
    <t>Custom Angle Post 50mm</t>
  </si>
  <si>
    <t>Custom Angle Post 46mm</t>
  </si>
  <si>
    <t>Batten Type</t>
  </si>
  <si>
    <t>Solid base double/47mm</t>
  </si>
  <si>
    <t>Solid base double/89mm</t>
  </si>
  <si>
    <t>Left</t>
  </si>
  <si>
    <t>Right</t>
  </si>
  <si>
    <t>Cuba</t>
  </si>
  <si>
    <t>Antigua</t>
  </si>
  <si>
    <t>Java</t>
  </si>
  <si>
    <t>LarchWood</t>
  </si>
  <si>
    <t>l_</t>
  </si>
  <si>
    <t>Craftwood</t>
  </si>
  <si>
    <t>Craftwood +</t>
  </si>
  <si>
    <t>Coralwood</t>
  </si>
  <si>
    <t>Permawood</t>
  </si>
  <si>
    <t>Build-outs and Sides</t>
  </si>
  <si>
    <t>Sides Code</t>
  </si>
  <si>
    <t>Sides Index</t>
  </si>
  <si>
    <t>Index</t>
  </si>
  <si>
    <t>2TB</t>
  </si>
  <si>
    <t>3B</t>
  </si>
  <si>
    <t>1L</t>
  </si>
  <si>
    <t>1R</t>
  </si>
  <si>
    <t>1B</t>
  </si>
  <si>
    <t>2TL</t>
  </si>
  <si>
    <t>2TR</t>
  </si>
  <si>
    <t>2BL</t>
  </si>
  <si>
    <t>2BR</t>
  </si>
  <si>
    <t>3TBL</t>
  </si>
  <si>
    <t>3TBR</t>
  </si>
  <si>
    <t>89mm Track top &amp; sides</t>
  </si>
  <si>
    <t>Stile for one panel</t>
  </si>
  <si>
    <t>Build out cost</t>
  </si>
  <si>
    <t>Cost for Discount</t>
  </si>
  <si>
    <t>Items at Cost Price</t>
  </si>
  <si>
    <t>Solid base double/114mm</t>
  </si>
  <si>
    <t>f_</t>
  </si>
  <si>
    <t>By-Pass</t>
  </si>
  <si>
    <t>BFB</t>
  </si>
  <si>
    <t>FBF</t>
  </si>
  <si>
    <t>BF</t>
  </si>
  <si>
    <t>FB</t>
  </si>
  <si>
    <t>BBFF</t>
  </si>
  <si>
    <t>FFBB</t>
  </si>
  <si>
    <t>BFFB</t>
  </si>
  <si>
    <t>FBBF</t>
  </si>
  <si>
    <t>BBFFBB</t>
  </si>
  <si>
    <t>FFBBFF</t>
  </si>
  <si>
    <t>ss_</t>
  </si>
  <si>
    <t>Velux GGL/GPL/GHL</t>
  </si>
  <si>
    <t>Velux GGU/GPU/GHU</t>
  </si>
  <si>
    <t>Fakro</t>
  </si>
  <si>
    <t>253-Natural Pine</t>
  </si>
  <si>
    <t>Skylight Fakro</t>
  </si>
  <si>
    <t>55x78 (CO2)</t>
  </si>
  <si>
    <t>66x98 (F04)</t>
  </si>
  <si>
    <t>55x98 (C04)</t>
  </si>
  <si>
    <t>66x118 (F06)</t>
  </si>
  <si>
    <t>78x98 (M04)</t>
  </si>
  <si>
    <t>78x118 (M06)</t>
  </si>
  <si>
    <t>78x140 (M08)</t>
  </si>
  <si>
    <t>94x118 (P06)</t>
  </si>
  <si>
    <t>94x140 (P08)</t>
  </si>
  <si>
    <t>114x118 (S06)</t>
  </si>
  <si>
    <t>114x140 (S08)</t>
  </si>
  <si>
    <t>134x98 (U04)</t>
  </si>
  <si>
    <t>78x160 (M10)</t>
  </si>
  <si>
    <t>134x140 (U08)</t>
  </si>
  <si>
    <t>55x78 (C2A)</t>
  </si>
  <si>
    <t>55x98 (C4A)</t>
  </si>
  <si>
    <t>66x118 (F6A)</t>
  </si>
  <si>
    <t>78x98 (M4A)</t>
  </si>
  <si>
    <t>78x118 (M6A)</t>
  </si>
  <si>
    <t>78x140 (M8A)</t>
  </si>
  <si>
    <t>114x118 (S6A)</t>
  </si>
  <si>
    <t>134x98 (U4A)</t>
  </si>
  <si>
    <t>134x140 (U8A)</t>
  </si>
  <si>
    <t>Skylight Velux</t>
  </si>
  <si>
    <t>55x78 (01)</t>
  </si>
  <si>
    <t>55x98 (02)</t>
  </si>
  <si>
    <t>66x98 (03)</t>
  </si>
  <si>
    <t>66x118 (04)</t>
  </si>
  <si>
    <t>78x98 (05)</t>
  </si>
  <si>
    <t>78x118 (06)</t>
  </si>
  <si>
    <t>78x140 (07)</t>
  </si>
  <si>
    <t>94x118 (08)</t>
  </si>
  <si>
    <t>94x140 (09)</t>
  </si>
  <si>
    <t>114x118 (10)</t>
  </si>
  <si>
    <t>114x140 (11)</t>
  </si>
  <si>
    <t>134x98 (12)</t>
  </si>
  <si>
    <t>134x140 (17)</t>
  </si>
  <si>
    <t>94x160 (80)</t>
  </si>
  <si>
    <t>GGL</t>
  </si>
  <si>
    <t>GGU</t>
  </si>
  <si>
    <t>GHU</t>
  </si>
  <si>
    <t>GHL</t>
  </si>
  <si>
    <t>GPU</t>
  </si>
  <si>
    <t>GPL</t>
  </si>
  <si>
    <t>a</t>
  </si>
  <si>
    <t>b</t>
  </si>
  <si>
    <t>c</t>
  </si>
  <si>
    <t>d</t>
  </si>
  <si>
    <t>e</t>
  </si>
  <si>
    <t>f</t>
  </si>
  <si>
    <t>Type List</t>
  </si>
  <si>
    <t>List</t>
  </si>
  <si>
    <t>Stile for Track</t>
  </si>
  <si>
    <t>66x140 (F08)</t>
  </si>
  <si>
    <t>g</t>
  </si>
  <si>
    <t>Leg Height</t>
  </si>
  <si>
    <t>Exact Rail</t>
  </si>
  <si>
    <t>TonT Position</t>
  </si>
  <si>
    <t>All 4 Sides</t>
  </si>
  <si>
    <t>Listed Swatch:</t>
  </si>
  <si>
    <t>Other swatch:</t>
  </si>
  <si>
    <t>Measure</t>
  </si>
  <si>
    <t>Horizontal T-Post Type</t>
  </si>
  <si>
    <t>No of Custom Colours-</t>
  </si>
  <si>
    <t>Arch Shutter</t>
  </si>
  <si>
    <t>Liberty Arch</t>
  </si>
  <si>
    <t>Circle With Sunburst Louvres</t>
  </si>
  <si>
    <t>French Door(Type A)</t>
  </si>
  <si>
    <t>French Door(Type B)</t>
  </si>
  <si>
    <t>French Door(Type C)</t>
  </si>
  <si>
    <t>French Door(Type D)</t>
  </si>
  <si>
    <t>Hexagon w. Straight Side</t>
  </si>
  <si>
    <t>Hexagon w. Straight Top</t>
  </si>
  <si>
    <t>Non-Standard</t>
  </si>
  <si>
    <t>Left Rake</t>
  </si>
  <si>
    <t>Right Rake</t>
  </si>
  <si>
    <t>Left Triangle</t>
  </si>
  <si>
    <t>Right Triangle</t>
  </si>
  <si>
    <t>Elongated Eyebrow Sunburst</t>
  </si>
  <si>
    <t>Eyebrow Sunburst</t>
  </si>
  <si>
    <t>Half Round Sunburst</t>
  </si>
  <si>
    <t>Hinged Sunburst at Top w/ Divider Strip</t>
  </si>
  <si>
    <t>Hinged Sunburst at Top w/ T Post</t>
  </si>
  <si>
    <t>Other Special Shape</t>
  </si>
  <si>
    <t>LEG HEIGHT REQUIRED (1= Yes)</t>
  </si>
  <si>
    <t>Shape Name</t>
  </si>
  <si>
    <t>Panel Surcharge</t>
  </si>
  <si>
    <t>All 4</t>
  </si>
  <si>
    <t>Sill T</t>
  </si>
  <si>
    <t>Sill B</t>
  </si>
  <si>
    <t>Sill L</t>
  </si>
  <si>
    <t>Sill R</t>
  </si>
  <si>
    <t>Circle with Horizontal Louvres</t>
  </si>
  <si>
    <t>Half Round Horizontal Louvres</t>
  </si>
  <si>
    <t>Oval w/ Horizontal Louvres</t>
  </si>
  <si>
    <t>Oval w/Sunburst Louvres</t>
  </si>
  <si>
    <t>Octagon w/ Horizontal Louvres</t>
  </si>
  <si>
    <t>Inside</t>
  </si>
  <si>
    <t>Outside</t>
  </si>
  <si>
    <t>Bay Measure</t>
  </si>
  <si>
    <t>CONFIG AND POSTS</t>
  </si>
  <si>
    <t>Line/Position</t>
  </si>
  <si>
    <t>Trade £</t>
  </si>
  <si>
    <t>114mm RC B</t>
  </si>
  <si>
    <t>Solid base/89mm RC B</t>
  </si>
  <si>
    <t>Solid base/89mm RC S</t>
  </si>
  <si>
    <t>Solid base/114mm RC B</t>
  </si>
  <si>
    <t>Solid base/114mm RC S</t>
  </si>
  <si>
    <t>Solid base double/89mm RC B</t>
  </si>
  <si>
    <t>Solid base double/89mm RC S</t>
  </si>
  <si>
    <t>Solid base double/114mm RC B</t>
  </si>
  <si>
    <t>Solid base double/114mm RC S</t>
  </si>
  <si>
    <t>Eyebrow Sunburst</t>
    <phoneticPr fontId="2" type="noConversion"/>
  </si>
  <si>
    <t>Arch Shutter</t>
    <phoneticPr fontId="2" type="noConversion"/>
  </si>
  <si>
    <t>Left Rake</t>
    <phoneticPr fontId="2" type="noConversion"/>
  </si>
  <si>
    <t>Right Rake</t>
    <phoneticPr fontId="2" type="noConversion"/>
  </si>
  <si>
    <t>Circle</t>
    <phoneticPr fontId="2" type="noConversion"/>
  </si>
  <si>
    <t>Specialty Shape Type</t>
    <phoneticPr fontId="5" type="noConversion"/>
  </si>
  <si>
    <t>code</t>
    <phoneticPr fontId="5" type="noConversion"/>
  </si>
  <si>
    <t>Description</t>
    <phoneticPr fontId="5" type="noConversion"/>
  </si>
  <si>
    <t>SA02</t>
  </si>
  <si>
    <t>SA03</t>
  </si>
  <si>
    <t>SC01</t>
  </si>
  <si>
    <t>SC02</t>
  </si>
  <si>
    <t>Left Triangle</t>
    <phoneticPr fontId="2" type="noConversion"/>
  </si>
  <si>
    <t>Right Triangle</t>
    <phoneticPr fontId="2" type="noConversion"/>
  </si>
  <si>
    <t>SF01</t>
  </si>
  <si>
    <t>French Door(Type A)</t>
    <phoneticPr fontId="5" type="noConversion"/>
  </si>
  <si>
    <t>SF02</t>
  </si>
  <si>
    <t>French Door(Type B)</t>
    <phoneticPr fontId="5" type="noConversion"/>
  </si>
  <si>
    <t>circle sunburst</t>
    <phoneticPr fontId="2" type="noConversion"/>
  </si>
  <si>
    <t>SF03</t>
  </si>
  <si>
    <t>French Door(Type C)</t>
    <phoneticPr fontId="5" type="noConversion"/>
  </si>
  <si>
    <t>Hexagon</t>
    <phoneticPr fontId="2" type="noConversion"/>
  </si>
  <si>
    <t>Octagon</t>
    <phoneticPr fontId="2" type="noConversion"/>
  </si>
  <si>
    <t>SF04</t>
  </si>
  <si>
    <t>French Door(Type D)</t>
    <phoneticPr fontId="5" type="noConversion"/>
  </si>
  <si>
    <t>Straight Top</t>
    <phoneticPr fontId="2" type="noConversion"/>
  </si>
  <si>
    <t>Straight Side</t>
    <phoneticPr fontId="2" type="noConversion"/>
  </si>
  <si>
    <t>SH01</t>
  </si>
  <si>
    <t>SH03</t>
  </si>
  <si>
    <t>SO01</t>
  </si>
  <si>
    <t>SR01</t>
  </si>
  <si>
    <t>SR03</t>
  </si>
  <si>
    <t>Right Rake</t>
    <phoneticPr fontId="5" type="noConversion"/>
  </si>
  <si>
    <t>SR05</t>
  </si>
  <si>
    <t>Sunburst With</t>
    <phoneticPr fontId="2" type="noConversion"/>
  </si>
  <si>
    <t>SR06</t>
  </si>
  <si>
    <t>Elongated Eyebrow Sunburst</t>
    <phoneticPr fontId="2" type="noConversion"/>
  </si>
  <si>
    <t>SS01</t>
  </si>
  <si>
    <t>Half Round Sunburst</t>
    <phoneticPr fontId="2" type="noConversion"/>
  </si>
  <si>
    <t>With Frame</t>
    <phoneticPr fontId="2" type="noConversion"/>
  </si>
  <si>
    <t>SS02</t>
  </si>
  <si>
    <t>SS03</t>
  </si>
  <si>
    <t>Sunburst at Top</t>
    <phoneticPr fontId="2" type="noConversion"/>
  </si>
  <si>
    <t>Quarter Sunburst Panel</t>
    <phoneticPr fontId="2" type="noConversion"/>
  </si>
  <si>
    <t>SS04</t>
  </si>
  <si>
    <t>Sunburst at Top w/ Divider Strip</t>
    <phoneticPr fontId="2" type="noConversion"/>
  </si>
  <si>
    <t>T Post</t>
    <phoneticPr fontId="2" type="noConversion"/>
  </si>
  <si>
    <t>Divider Strip</t>
    <phoneticPr fontId="2" type="noConversion"/>
  </si>
  <si>
    <t>SS05</t>
  </si>
  <si>
    <t>Sunburst at Top w/ T Post</t>
    <phoneticPr fontId="2" type="noConversion"/>
  </si>
  <si>
    <t>SS10</t>
  </si>
  <si>
    <t>Liberty arch</t>
    <phoneticPr fontId="2" type="noConversion"/>
  </si>
  <si>
    <t>76mm</t>
  </si>
  <si>
    <t>Horizontal Posts</t>
  </si>
  <si>
    <t>76mm Fixed Louvre Closed Up</t>
  </si>
  <si>
    <t>76mm Fixed Louvre Closed Down</t>
  </si>
  <si>
    <t>76mm Fixed Louvre Open Up</t>
  </si>
  <si>
    <t>76mm Fixed Louvre Open Down</t>
  </si>
  <si>
    <t>Solid base/76mm</t>
  </si>
  <si>
    <t>Solid base double/76mm</t>
  </si>
  <si>
    <t>76mm RC B</t>
  </si>
  <si>
    <t>Solid base/76mm RC B</t>
  </si>
  <si>
    <t>Solid base double/76mm RC B</t>
  </si>
  <si>
    <t>Horizontal Louvres</t>
  </si>
  <si>
    <t>Remote Control Handsets</t>
  </si>
  <si>
    <t>89mm RC S</t>
  </si>
  <si>
    <t>White with Round Magnets</t>
  </si>
  <si>
    <t>Pearl with Round Magnets</t>
  </si>
  <si>
    <t>Black with Round Magnets</t>
  </si>
  <si>
    <t>114mm RC S</t>
  </si>
  <si>
    <t>Bisque with Round Magnets</t>
  </si>
  <si>
    <t>Opt</t>
  </si>
  <si>
    <t>Antique Brass with Round Magnets</t>
  </si>
  <si>
    <t>Bright Brass with Round Magnets</t>
  </si>
  <si>
    <t>Nickel Plated with Round Magnets</t>
  </si>
  <si>
    <t>Brushed Nickel Plated with Round Magnets</t>
  </si>
  <si>
    <t>Stainless Steel with Round Magnets</t>
  </si>
  <si>
    <t>Solid base double</t>
  </si>
  <si>
    <t>Solid Moulded double</t>
  </si>
  <si>
    <t>Gloss Translation</t>
  </si>
  <si>
    <t>Exterior Panel Types</t>
  </si>
  <si>
    <t>Panel Group</t>
  </si>
  <si>
    <t>Louvered?</t>
  </si>
  <si>
    <t>Price Adjust</t>
  </si>
  <si>
    <t>Price adjust</t>
  </si>
  <si>
    <t>Product</t>
  </si>
  <si>
    <t>Exterior Mid-Rails</t>
  </si>
  <si>
    <t>Exterior Stiles</t>
  </si>
  <si>
    <t>Laths Type</t>
  </si>
  <si>
    <t>Astragal</t>
  </si>
  <si>
    <t>Hinge Groove</t>
  </si>
  <si>
    <t>Finished</t>
  </si>
  <si>
    <t>primed</t>
  </si>
  <si>
    <t>unfinished</t>
  </si>
  <si>
    <t>Standard</t>
  </si>
  <si>
    <t>Traditional</t>
  </si>
  <si>
    <t>38mm*67mm</t>
  </si>
  <si>
    <t>16*92mm</t>
  </si>
  <si>
    <t>002-Extra white</t>
  </si>
  <si>
    <t>Speciality(Closed Arch)</t>
  </si>
  <si>
    <t>38mm*90mm</t>
  </si>
  <si>
    <t>16*136mm</t>
  </si>
  <si>
    <t>On the right</t>
  </si>
  <si>
    <t>Lath side</t>
  </si>
  <si>
    <t>Classic</t>
  </si>
  <si>
    <t>Specialiity(Open Arch)</t>
  </si>
  <si>
    <t>38mm*120mm</t>
  </si>
  <si>
    <t>16*186mm</t>
  </si>
  <si>
    <t>On the left</t>
  </si>
  <si>
    <t>Frame side</t>
  </si>
  <si>
    <t>Multi-Panelled</t>
  </si>
  <si>
    <t>Venster</t>
  </si>
  <si>
    <t>32mm*67mm</t>
  </si>
  <si>
    <t>Shaker</t>
  </si>
  <si>
    <t>Flat</t>
  </si>
  <si>
    <t>32mm*90mm</t>
  </si>
  <si>
    <t>On the right(frame side)</t>
  </si>
  <si>
    <t>Routed Shaker</t>
  </si>
  <si>
    <t>Speciality(Depth Arch)</t>
  </si>
  <si>
    <t>32mm*120mm</t>
  </si>
  <si>
    <t>On the right (lath side)</t>
  </si>
  <si>
    <t>Embossed</t>
  </si>
  <si>
    <t>22mm*110mm</t>
  </si>
  <si>
    <t>On the left (frame side)</t>
  </si>
  <si>
    <t>Contemporary</t>
  </si>
  <si>
    <t>On the left (lath side)</t>
  </si>
  <si>
    <t>403-Light-Med. (Lacq.)</t>
  </si>
  <si>
    <t>404-Med.-Dark (Lacq.)</t>
  </si>
  <si>
    <t>503-Light-Med. (Oiled)</t>
  </si>
  <si>
    <t>504-Med.-Dark (Oiled)</t>
  </si>
  <si>
    <t>RAL</t>
  </si>
  <si>
    <t>5004-Blue Black</t>
  </si>
  <si>
    <t>5011-Steel Blue</t>
  </si>
  <si>
    <t>Solid Raised Double</t>
  </si>
  <si>
    <t>6009-Pine Green</t>
  </si>
  <si>
    <t>6012-Green Black</t>
  </si>
  <si>
    <t>7016-Anthracite</t>
  </si>
  <si>
    <t>7021-Grey Black</t>
  </si>
  <si>
    <t>9001-White Cream</t>
  </si>
  <si>
    <t>9005-Deep Black</t>
  </si>
  <si>
    <t>9010-Pure White</t>
  </si>
  <si>
    <t>Primed White</t>
  </si>
  <si>
    <t>Primed Green</t>
  </si>
  <si>
    <t>Primed Grey</t>
  </si>
  <si>
    <t>Oil Stain 704</t>
  </si>
  <si>
    <t>Oil Stain  711</t>
  </si>
  <si>
    <t>Oil Stain 716</t>
  </si>
  <si>
    <t>Oil Stain 726</t>
  </si>
  <si>
    <t>Oil Stain 901</t>
  </si>
  <si>
    <t>Oil Stain 911</t>
  </si>
  <si>
    <t>Unfinished</t>
  </si>
  <si>
    <t>Listed Colour Swatch</t>
  </si>
  <si>
    <t>Other Swatch</t>
  </si>
  <si>
    <t>Exterior Panel Type</t>
  </si>
  <si>
    <t>Louvred?</t>
  </si>
  <si>
    <t>Radius</t>
  </si>
  <si>
    <t>Vertical</t>
  </si>
  <si>
    <t>Panelled</t>
  </si>
  <si>
    <t>FlatLX</t>
  </si>
  <si>
    <t>Extended</t>
  </si>
  <si>
    <t>Stainless Steel With Round Magnets</t>
  </si>
  <si>
    <t>204 Oak Mantel</t>
  </si>
  <si>
    <t>Solid base/76mm RC S</t>
  </si>
  <si>
    <t>Solid base double/76mm RC S</t>
  </si>
  <si>
    <t>Deep Bullnose Z 38mm</t>
  </si>
  <si>
    <t>Ridge Deco 76mm</t>
  </si>
  <si>
    <t>Deep Crown Z 76mm</t>
  </si>
  <si>
    <t>Deep Plain L 60mm</t>
  </si>
  <si>
    <t>63mm</t>
  </si>
  <si>
    <t>63mm Fixed Louvre Closed Up</t>
  </si>
  <si>
    <t>63mm Fixed Louvre Closed Down</t>
  </si>
  <si>
    <t>63mm Fixed Louvre Open Up</t>
  </si>
  <si>
    <t>63mm Fixed Louvre Open Down</t>
  </si>
  <si>
    <t>Solid base/63mm</t>
  </si>
  <si>
    <t>Solid base double/63mm</t>
  </si>
  <si>
    <t>63mm RC B</t>
  </si>
  <si>
    <t>Solid base/63mm RC B</t>
  </si>
  <si>
    <t>Solid base double/63mm RC B</t>
  </si>
  <si>
    <t>Solid base/63mm RC S</t>
  </si>
  <si>
    <t>Solid base double/63mm RC S</t>
  </si>
  <si>
    <t xml:space="preserve">63mm Fixed Louvre Closed Up </t>
  </si>
  <si>
    <t>63mm RC S</t>
  </si>
  <si>
    <t>63mm Fiixed Louvre Closed Down</t>
  </si>
  <si>
    <t>Custom Angle Post 32mm</t>
  </si>
  <si>
    <t>Trad. T 32mm</t>
  </si>
  <si>
    <t>Trad. T 46mm</t>
  </si>
  <si>
    <t>Trad. T 25mm</t>
  </si>
  <si>
    <t>vQ1</t>
  </si>
  <si>
    <t>Trad T 32mm</t>
  </si>
  <si>
    <t>Trad T 46mm</t>
  </si>
  <si>
    <t>Trad T 50mm</t>
  </si>
  <si>
    <t>Trad T 37mm</t>
  </si>
  <si>
    <t>CP Sunblinds Ltd</t>
  </si>
  <si>
    <t>CPSUN</t>
  </si>
  <si>
    <t>VAT exempt</t>
  </si>
  <si>
    <t>SO2302</t>
  </si>
  <si>
    <t xml:space="preserve">Curwood </t>
  </si>
  <si>
    <t xml:space="preserve">Bed 2 </t>
  </si>
  <si>
    <t>Bed1</t>
  </si>
  <si>
    <t xml:space="preserve">Dressing Room </t>
  </si>
  <si>
    <t xml:space="preserve">Front Door Panels </t>
  </si>
  <si>
    <t>Study</t>
  </si>
  <si>
    <t xml:space="preserve">Living Room </t>
  </si>
  <si>
    <t>centre</t>
  </si>
  <si>
    <t>LLLLLL</t>
  </si>
  <si>
    <t>LTLLRRTR</t>
  </si>
  <si>
    <t>Utility</t>
  </si>
  <si>
    <t>Discount rate</t>
  </si>
  <si>
    <t>Flat Discount</t>
  </si>
  <si>
    <t>Discount Value</t>
  </si>
  <si>
    <t xml:space="preserve">
The promotion Love Shutters 2015 (code 126) has been applied to this order.</t>
  </si>
  <si>
    <t>SCR15111223</t>
  </si>
  <si>
    <t>paint cracking on all the panels )please see photos atached)</t>
  </si>
  <si>
    <t xml:space="preserve">issue remake panels and frames plus cover strips 3 x 15 as follows: 1 x 1600m, 1 x 900m, 1 x 1300mm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</si>
</sst>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quot;£&quot;#,##0.00_);[Red]\(&quot;£&quot;#,##0.00\)"/>
    <numFmt numFmtId="165" formatCode="_(&quot;£&quot;* #,##0.00_);_(&quot;£&quot;* \(#,##0.00\);_(&quot;£&quot;* &quot;-&quot;??_);_(@_)"/>
    <numFmt numFmtId="166" formatCode="_(* #,##0.00_);_(* \(#,##0.00\);_(* &quot;-&quot;??_);_(@_)"/>
    <numFmt numFmtId="167" formatCode="_-&quot;$&quot;* #,##0.00_-;\-&quot;$&quot;* #,##0.00_-;_-&quot;$&quot;* &quot;-&quot;??_-;_-@_-"/>
    <numFmt numFmtId="168" formatCode="0.0%"/>
    <numFmt numFmtId="169" formatCode="_-[$£-809]* #,##0.00_-;\-[$£-809]* #,##0.00_-;_-[$£-809]* &quot;-&quot;??_-;_-@_-"/>
    <numFmt numFmtId="170" formatCode="&quot;£&quot;#,##0.00"/>
    <numFmt numFmtId="171" formatCode="0.0"/>
    <numFmt numFmtId="172" formatCode="0.000"/>
    <numFmt numFmtId="173" formatCode="0.00000"/>
    <numFmt numFmtId="174" formatCode="0.00000000"/>
    <numFmt numFmtId="175" formatCode="_-* #,##0_-;\-* #,##0_-;_-* &quot;-&quot;??_-;_-@_-"/>
    <numFmt numFmtId="176" formatCode="_-* #,##0.00000_-;\-* #,##0.00000_-;_-* &quot;-&quot;??_-;_-@_-"/>
    <numFmt numFmtId="177" formatCode="_-[$$-409]* #,##0.00_ ;_-[$$-409]* \-#,##0.00\ ;_-[$$-409]* &quot;-&quot;??_ ;_-@_ "/>
    <numFmt numFmtId="178" formatCode="\£0.00"/>
    <numFmt numFmtId="179" formatCode="\£#,##0.00"/>
  </numFmts>
  <fonts count="73" x14ac:knownFonts="1">
    <font>
      <sz val="12"/>
      <name val="Arial"/>
      <family val="2"/>
    </font>
    <font>
      <sz val="12"/>
      <name val="Arial"/>
      <family val="2"/>
    </font>
    <font>
      <sz val="12"/>
      <name val="Arial"/>
      <family val="2"/>
    </font>
    <font>
      <b/>
      <sz val="12"/>
      <name val="Arial"/>
      <family val="2"/>
    </font>
    <font>
      <b/>
      <i/>
      <sz val="12"/>
      <name val="Arial"/>
      <family val="2"/>
    </font>
    <font>
      <sz val="10"/>
      <name val="Arial"/>
      <family val="2"/>
    </font>
    <font>
      <sz val="10"/>
      <name val="Arial"/>
      <family val="2"/>
    </font>
    <font>
      <b/>
      <sz val="8"/>
      <color indexed="8"/>
      <name val="Arial"/>
      <family val="2"/>
    </font>
    <font>
      <sz val="8"/>
      <color indexed="8"/>
      <name val="Arial"/>
      <family val="2"/>
    </font>
    <font>
      <b/>
      <sz val="8"/>
      <name val="Arial"/>
      <family val="2"/>
    </font>
    <font>
      <b/>
      <sz val="10"/>
      <name val="Arial"/>
      <family val="2"/>
    </font>
    <font>
      <b/>
      <sz val="8"/>
      <color indexed="81"/>
      <name val="Tahoma"/>
      <family val="2"/>
    </font>
    <font>
      <sz val="12"/>
      <name val="Arial"/>
      <family val="2"/>
    </font>
    <font>
      <sz val="8"/>
      <name val="Arial"/>
      <family val="2"/>
    </font>
    <font>
      <b/>
      <sz val="7"/>
      <name val="Arial"/>
      <family val="2"/>
    </font>
    <font>
      <sz val="12"/>
      <name val="Arial"/>
      <family val="2"/>
    </font>
    <font>
      <sz val="10"/>
      <color indexed="9"/>
      <name val="Arial"/>
      <family val="2"/>
    </font>
    <font>
      <sz val="12"/>
      <color indexed="9"/>
      <name val="Arial"/>
      <family val="2"/>
    </font>
    <font>
      <sz val="9"/>
      <name val="Arial"/>
      <family val="2"/>
    </font>
    <font>
      <sz val="9"/>
      <color indexed="9"/>
      <name val="Arial"/>
      <family val="2"/>
    </font>
    <font>
      <b/>
      <sz val="9"/>
      <color indexed="9"/>
      <name val="Arial"/>
      <family val="2"/>
    </font>
    <font>
      <b/>
      <sz val="10"/>
      <color indexed="9"/>
      <name val="Arial"/>
      <family val="2"/>
    </font>
    <font>
      <b/>
      <sz val="9"/>
      <name val="Arial"/>
      <family val="2"/>
    </font>
    <font>
      <b/>
      <sz val="11"/>
      <name val="Arial"/>
      <family val="2"/>
    </font>
    <font>
      <b/>
      <sz val="11"/>
      <color indexed="9"/>
      <name val="Arial"/>
      <family val="2"/>
    </font>
    <font>
      <b/>
      <u/>
      <sz val="11"/>
      <color indexed="10"/>
      <name val="Arial"/>
      <family val="2"/>
    </font>
    <font>
      <b/>
      <sz val="10"/>
      <color indexed="10"/>
      <name val="Arial"/>
      <family val="2"/>
    </font>
    <font>
      <sz val="10"/>
      <color indexed="8"/>
      <name val="Arial"/>
      <family val="2"/>
    </font>
    <font>
      <sz val="8"/>
      <color indexed="81"/>
      <name val="Tahoma"/>
      <family val="2"/>
    </font>
    <font>
      <u/>
      <sz val="11"/>
      <color indexed="81"/>
      <name val="Tahoma"/>
      <family val="2"/>
    </font>
    <font>
      <sz val="11"/>
      <color indexed="81"/>
      <name val="Tahoma"/>
      <family val="2"/>
    </font>
    <font>
      <b/>
      <sz val="11"/>
      <color indexed="81"/>
      <name val="Tahoma"/>
      <family val="2"/>
    </font>
    <font>
      <b/>
      <sz val="10"/>
      <color indexed="43"/>
      <name val="Arial"/>
      <family val="2"/>
    </font>
    <font>
      <sz val="12"/>
      <color indexed="81"/>
      <name val="Tahoma"/>
      <family val="2"/>
    </font>
    <font>
      <sz val="10"/>
      <color indexed="81"/>
      <name val="Tahoma"/>
      <family val="2"/>
    </font>
    <font>
      <sz val="9"/>
      <color indexed="22"/>
      <name val="Arial"/>
      <family val="2"/>
    </font>
    <font>
      <sz val="10"/>
      <color indexed="10"/>
      <name val="Tahoma"/>
      <family val="2"/>
    </font>
    <font>
      <b/>
      <sz val="16"/>
      <color indexed="43"/>
      <name val="Arial"/>
      <family val="2"/>
    </font>
    <font>
      <sz val="16"/>
      <color indexed="43"/>
      <name val="Arial"/>
      <family val="2"/>
    </font>
    <font>
      <sz val="9"/>
      <color indexed="43"/>
      <name val="Arial"/>
      <family val="2"/>
    </font>
    <font>
      <sz val="12"/>
      <color indexed="43"/>
      <name val="Arial"/>
      <family val="2"/>
    </font>
    <font>
      <b/>
      <sz val="11"/>
      <color indexed="43"/>
      <name val="Arial"/>
      <family val="2"/>
    </font>
    <font>
      <sz val="11"/>
      <color indexed="43"/>
      <name val="Arial"/>
      <family val="2"/>
    </font>
    <font>
      <sz val="10"/>
      <color indexed="43"/>
      <name val="Arial"/>
      <family val="2"/>
    </font>
    <font>
      <b/>
      <sz val="9"/>
      <color indexed="43"/>
      <name val="Arial"/>
      <family val="2"/>
    </font>
    <font>
      <b/>
      <sz val="12"/>
      <color indexed="43"/>
      <name val="Arial"/>
      <family val="2"/>
    </font>
    <font>
      <sz val="12"/>
      <color indexed="10"/>
      <name val="Arial"/>
      <family val="2"/>
    </font>
    <font>
      <sz val="9"/>
      <color indexed="10"/>
      <name val="Arial"/>
      <family val="2"/>
    </font>
    <font>
      <sz val="10"/>
      <color indexed="10"/>
      <name val="Arial"/>
      <family val="2"/>
    </font>
    <font>
      <sz val="9"/>
      <color indexed="8"/>
      <name val="Arial"/>
      <family val="2"/>
    </font>
    <font>
      <b/>
      <vertAlign val="superscript"/>
      <sz val="11"/>
      <color indexed="43"/>
      <name val="Arial"/>
      <family val="2"/>
    </font>
    <font>
      <sz val="12"/>
      <color indexed="8"/>
      <name val="Arial"/>
      <family val="2"/>
    </font>
    <font>
      <b/>
      <sz val="14"/>
      <color indexed="43"/>
      <name val="Arial"/>
      <family val="2"/>
    </font>
    <font>
      <sz val="6"/>
      <name val="Arial"/>
      <family val="2"/>
    </font>
    <font>
      <b/>
      <sz val="10"/>
      <color indexed="81"/>
      <name val="Tahoma"/>
      <family val="2"/>
    </font>
    <font>
      <sz val="9"/>
      <color indexed="81"/>
      <name val="Tahoma"/>
      <family val="2"/>
    </font>
    <font>
      <b/>
      <u/>
      <sz val="8"/>
      <color indexed="81"/>
      <name val="Tahoma"/>
      <family val="2"/>
    </font>
    <font>
      <sz val="8"/>
      <color indexed="43"/>
      <name val="Arial"/>
      <family val="2"/>
    </font>
    <font>
      <sz val="12"/>
      <color indexed="22"/>
      <name val="Arial"/>
      <family val="2"/>
    </font>
    <font>
      <b/>
      <sz val="8"/>
      <color indexed="22"/>
      <name val="Arial"/>
      <family val="2"/>
    </font>
    <font>
      <sz val="8"/>
      <color indexed="22"/>
      <name val="Arial"/>
      <family val="2"/>
    </font>
    <font>
      <sz val="10"/>
      <color indexed="22"/>
      <name val="Arial"/>
      <family val="2"/>
    </font>
    <font>
      <sz val="12"/>
      <name val="Times New Roman"/>
      <family val="1"/>
    </font>
    <font>
      <sz val="9"/>
      <name val="Tahoma"/>
      <family val="2"/>
    </font>
    <font>
      <sz val="10"/>
      <name val="Arial"/>
      <family val="2"/>
    </font>
    <font>
      <sz val="8"/>
      <name val="Arial"/>
      <family val="2"/>
    </font>
    <font>
      <b/>
      <sz val="9"/>
      <color indexed="81"/>
      <name val="Tahoma"/>
      <family val="2"/>
    </font>
    <font>
      <sz val="8"/>
      <color theme="0" tint="-0.14999847407452621"/>
      <name val="Arial"/>
      <family val="2"/>
    </font>
    <font>
      <sz val="10"/>
      <color theme="0"/>
      <name val="Arial"/>
      <family val="2"/>
    </font>
    <font>
      <sz val="8"/>
      <color rgb="FF000000"/>
      <name val="Tahoma"/>
      <family val="2"/>
    </font>
    <font>
      <sz val="12"/>
      <name val="新細明體"/>
      <family val="1"/>
      <charset val="136"/>
    </font>
    <font>
      <sz val="10"/>
      <name val="Times New Roman"/>
      <family val="1"/>
    </font>
    <font>
      <sz val="11"/>
      <name val="Calibri"/>
      <family val="2"/>
    </font>
  </fonts>
  <fills count="18">
    <fill>
      <patternFill patternType="none"/>
    </fill>
    <fill>
      <patternFill patternType="gray125"/>
    </fill>
    <fill>
      <patternFill patternType="solid">
        <fgColor indexed="17"/>
        <bgColor indexed="64"/>
      </patternFill>
    </fill>
    <fill>
      <patternFill patternType="solid">
        <fgColor indexed="26"/>
        <bgColor indexed="64"/>
      </patternFill>
    </fill>
    <fill>
      <patternFill patternType="solid">
        <fgColor indexed="27"/>
        <bgColor indexed="64"/>
      </patternFill>
    </fill>
    <fill>
      <patternFill patternType="solid">
        <fgColor indexed="26"/>
        <bgColor indexed="27"/>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3"/>
        <bgColor indexed="64"/>
      </patternFill>
    </fill>
    <fill>
      <patternFill patternType="solid">
        <fgColor indexed="46"/>
        <bgColor indexed="64"/>
      </patternFill>
    </fill>
    <fill>
      <patternFill patternType="solid">
        <fgColor indexed="20"/>
        <bgColor indexed="64"/>
      </patternFill>
    </fill>
    <fill>
      <patternFill patternType="solid">
        <fgColor theme="0"/>
        <bgColor indexed="64"/>
      </patternFill>
    </fill>
    <fill>
      <patternFill patternType="solid">
        <fgColor theme="8" tint="0.59999389629810485"/>
        <bgColor indexed="64"/>
      </patternFill>
    </fill>
    <fill>
      <patternFill patternType="solid">
        <fgColor rgb="FF666699"/>
        <bgColor indexed="64"/>
      </patternFill>
    </fill>
    <fill>
      <patternFill patternType="solid">
        <fgColor indexed="40"/>
        <bgColor indexed="64"/>
      </patternFill>
    </fill>
    <fill>
      <patternFill patternType="solid">
        <fgColor indexed="22"/>
        <bgColor indexed="64"/>
      </patternFill>
    </fill>
    <fill>
      <patternFill patternType="solid">
        <fgColor indexed="51"/>
        <bgColor indexed="64"/>
      </patternFill>
    </fill>
  </fills>
  <borders count="106">
    <border>
      <left/>
      <right/>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medium">
        <color indexed="64"/>
      </top>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diagonal/>
    </border>
    <border>
      <left style="hair">
        <color indexed="64"/>
      </left>
      <right style="hair">
        <color indexed="64"/>
      </right>
      <top style="hair">
        <color indexed="64"/>
      </top>
      <bottom style="medium">
        <color indexed="64"/>
      </bottom>
      <diagonal/>
    </border>
    <border>
      <left style="medium">
        <color indexed="64"/>
      </left>
      <right style="medium">
        <color indexed="64"/>
      </right>
      <top/>
      <bottom style="medium">
        <color indexed="64"/>
      </bottom>
      <diagonal/>
    </border>
    <border>
      <left style="hair">
        <color indexed="64"/>
      </left>
      <right style="hair">
        <color indexed="64"/>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medium">
        <color indexed="64"/>
      </top>
      <bottom/>
      <diagonal/>
    </border>
    <border>
      <left/>
      <right style="hair">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hair">
        <color indexed="64"/>
      </left>
      <right/>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medium">
        <color indexed="64"/>
      </right>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style="mediumDashed">
        <color indexed="64"/>
      </right>
      <top style="hair">
        <color indexed="64"/>
      </top>
      <bottom style="hair">
        <color indexed="64"/>
      </bottom>
      <diagonal/>
    </border>
    <border>
      <left style="medium">
        <color indexed="64"/>
      </left>
      <right style="mediumDashed">
        <color indexed="64"/>
      </right>
      <top/>
      <bottom style="hair">
        <color indexed="64"/>
      </bottom>
      <diagonal/>
    </border>
    <border>
      <left style="mediumDashed">
        <color indexed="64"/>
      </left>
      <right/>
      <top style="thin">
        <color indexed="64"/>
      </top>
      <bottom/>
      <diagonal/>
    </border>
    <border>
      <left style="mediumDashed">
        <color indexed="64"/>
      </left>
      <right/>
      <top/>
      <bottom/>
      <diagonal/>
    </border>
    <border>
      <left style="medium">
        <color indexed="64"/>
      </left>
      <right style="medium">
        <color indexed="64"/>
      </right>
      <top/>
      <bottom style="hair">
        <color indexed="64"/>
      </bottom>
      <diagonal/>
    </border>
    <border>
      <left/>
      <right/>
      <top style="hair">
        <color indexed="64"/>
      </top>
      <bottom style="hair">
        <color indexed="64"/>
      </bottom>
      <diagonal/>
    </border>
    <border>
      <left style="hair">
        <color indexed="64"/>
      </left>
      <right/>
      <top style="medium">
        <color indexed="64"/>
      </top>
      <bottom/>
      <diagonal/>
    </border>
    <border>
      <left/>
      <right style="hair">
        <color indexed="64"/>
      </right>
      <top style="hair">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Dashed">
        <color indexed="64"/>
      </right>
      <top style="hair">
        <color indexed="64"/>
      </top>
      <bottom/>
      <diagonal/>
    </border>
    <border>
      <left style="medium">
        <color indexed="64"/>
      </left>
      <right style="thin">
        <color indexed="9"/>
      </right>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s>
  <cellStyleXfs count="26">
    <xf numFmtId="0" fontId="0" fillId="0" borderId="0"/>
    <xf numFmtId="166" fontId="2" fillId="0" borderId="0" applyFont="0" applyFill="0" applyBorder="0" applyAlignment="0" applyProtection="0"/>
    <xf numFmtId="166" fontId="5" fillId="0" borderId="0" applyFont="0" applyFill="0" applyBorder="0" applyAlignment="0" applyProtection="0"/>
    <xf numFmtId="167" fontId="2" fillId="0" borderId="0" applyFont="0" applyFill="0" applyBorder="0" applyAlignment="0" applyProtection="0"/>
    <xf numFmtId="165" fontId="5" fillId="0" borderId="0" applyFont="0" applyFill="0" applyBorder="0" applyAlignment="0" applyProtection="0"/>
    <xf numFmtId="177" fontId="18" fillId="0" borderId="1" applyFont="0" applyFill="0" applyBorder="0" applyAlignment="0" applyProtection="0">
      <alignment horizontal="center" wrapText="1"/>
      <protection hidden="1"/>
    </xf>
    <xf numFmtId="0" fontId="2" fillId="0" borderId="0"/>
    <xf numFmtId="0" fontId="12"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64" fillId="0" borderId="0"/>
    <xf numFmtId="0" fontId="6" fillId="0" borderId="0"/>
    <xf numFmtId="0" fontId="5" fillId="0" borderId="0"/>
    <xf numFmtId="0" fontId="1" fillId="0" borderId="0"/>
    <xf numFmtId="9" fontId="5" fillId="0" borderId="0" applyFont="0" applyFill="0" applyBorder="0" applyAlignment="0" applyProtection="0"/>
    <xf numFmtId="0" fontId="70" fillId="0" borderId="0"/>
    <xf numFmtId="0" fontId="5" fillId="0" borderId="0"/>
    <xf numFmtId="0" fontId="1" fillId="0" borderId="0"/>
    <xf numFmtId="0" fontId="1" fillId="0" borderId="0"/>
    <xf numFmtId="0" fontId="1" fillId="0" borderId="0"/>
  </cellStyleXfs>
  <cellXfs count="1544">
    <xf numFmtId="0" fontId="0" fillId="0" borderId="0" xfId="0"/>
    <xf numFmtId="0" fontId="6" fillId="0" borderId="0" xfId="17"/>
    <xf numFmtId="1" fontId="6" fillId="0" borderId="0" xfId="17" applyNumberFormat="1"/>
    <xf numFmtId="0" fontId="6" fillId="0" borderId="0" xfId="17" applyProtection="1">
      <protection locked="0"/>
    </xf>
    <xf numFmtId="0" fontId="9" fillId="0" borderId="2" xfId="17" applyFont="1" applyFill="1" applyBorder="1" applyAlignment="1" applyProtection="1">
      <alignment horizontal="center" vertical="center"/>
      <protection hidden="1"/>
    </xf>
    <xf numFmtId="0" fontId="9" fillId="0" borderId="3" xfId="17" applyFont="1" applyFill="1" applyBorder="1" applyAlignment="1" applyProtection="1">
      <alignment horizontal="center" vertical="center"/>
      <protection hidden="1"/>
    </xf>
    <xf numFmtId="0" fontId="5" fillId="0" borderId="1" xfId="7" applyFont="1" applyFill="1" applyBorder="1" applyAlignment="1" applyProtection="1">
      <alignment horizontal="center" wrapText="1"/>
      <protection hidden="1"/>
    </xf>
    <xf numFmtId="0" fontId="18" fillId="0" borderId="1" xfId="7" applyFont="1" applyFill="1" applyBorder="1" applyAlignment="1" applyProtection="1">
      <alignment horizontal="center" wrapText="1"/>
      <protection hidden="1"/>
    </xf>
    <xf numFmtId="0" fontId="5" fillId="0" borderId="0" xfId="7" applyFont="1" applyProtection="1">
      <protection hidden="1"/>
    </xf>
    <xf numFmtId="0" fontId="16" fillId="2" borderId="4" xfId="7" applyFont="1" applyFill="1" applyBorder="1" applyAlignment="1" applyProtection="1">
      <alignment horizontal="center" wrapText="1"/>
      <protection hidden="1"/>
    </xf>
    <xf numFmtId="2" fontId="19" fillId="2" borderId="5" xfId="17" applyNumberFormat="1" applyFont="1" applyFill="1" applyBorder="1" applyAlignment="1" applyProtection="1">
      <alignment horizontal="center" vertical="center" wrapText="1"/>
      <protection hidden="1"/>
    </xf>
    <xf numFmtId="2" fontId="19" fillId="2" borderId="6" xfId="17" applyNumberFormat="1" applyFont="1" applyFill="1" applyBorder="1" applyAlignment="1" applyProtection="1">
      <alignment horizontal="center" vertical="center" wrapText="1"/>
      <protection hidden="1"/>
    </xf>
    <xf numFmtId="0" fontId="19" fillId="2" borderId="7" xfId="0" applyFont="1" applyFill="1" applyBorder="1" applyAlignment="1" applyProtection="1">
      <alignment horizontal="center" vertical="center"/>
      <protection locked="0"/>
    </xf>
    <xf numFmtId="0" fontId="19"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0" fillId="0" borderId="0" xfId="0" applyProtection="1"/>
    <xf numFmtId="0" fontId="6" fillId="0" borderId="0" xfId="17" applyProtection="1"/>
    <xf numFmtId="10" fontId="3" fillId="0" borderId="0" xfId="0" applyNumberFormat="1" applyFont="1"/>
    <xf numFmtId="0" fontId="5" fillId="0" borderId="10" xfId="17" applyNumberFormat="1" applyFont="1" applyFill="1" applyBorder="1" applyAlignment="1" applyProtection="1">
      <alignment horizontal="left" vertical="center" wrapText="1"/>
    </xf>
    <xf numFmtId="0" fontId="5" fillId="0" borderId="11" xfId="17" applyNumberFormat="1" applyFont="1" applyFill="1" applyBorder="1" applyAlignment="1" applyProtection="1">
      <alignment horizontal="left" vertical="center" wrapText="1"/>
    </xf>
    <xf numFmtId="0" fontId="19" fillId="2" borderId="9" xfId="0" applyFont="1" applyFill="1" applyBorder="1" applyAlignment="1" applyProtection="1">
      <alignment horizontal="center" vertical="center"/>
      <protection locked="0"/>
    </xf>
    <xf numFmtId="1" fontId="6" fillId="0" borderId="0" xfId="17" applyNumberFormat="1" applyFont="1"/>
    <xf numFmtId="0" fontId="22" fillId="3" borderId="2" xfId="17" applyFont="1" applyFill="1" applyBorder="1" applyAlignment="1" applyProtection="1">
      <alignment horizontal="center" vertical="center"/>
    </xf>
    <xf numFmtId="0" fontId="18" fillId="0" borderId="0" xfId="17" applyFont="1" applyProtection="1"/>
    <xf numFmtId="0" fontId="18" fillId="0" borderId="0" xfId="0" applyFont="1" applyProtection="1"/>
    <xf numFmtId="1" fontId="18" fillId="0" borderId="0" xfId="17" applyNumberFormat="1" applyFont="1" applyProtection="1"/>
    <xf numFmtId="0" fontId="18" fillId="0" borderId="0" xfId="0" applyFont="1" applyAlignment="1" applyProtection="1">
      <alignment vertical="top" wrapText="1"/>
    </xf>
    <xf numFmtId="0" fontId="22" fillId="0" borderId="0" xfId="0" applyFont="1" applyProtection="1"/>
    <xf numFmtId="1" fontId="22" fillId="0" borderId="0" xfId="17" applyNumberFormat="1" applyFont="1"/>
    <xf numFmtId="0" fontId="18" fillId="0" borderId="0" xfId="17" applyFont="1"/>
    <xf numFmtId="0" fontId="23" fillId="3" borderId="2" xfId="17" applyFont="1" applyFill="1" applyBorder="1" applyAlignment="1" applyProtection="1">
      <alignment horizontal="center" vertical="center"/>
    </xf>
    <xf numFmtId="0" fontId="5" fillId="3" borderId="1" xfId="0" applyFont="1" applyFill="1" applyBorder="1" applyAlignment="1" applyProtection="1">
      <alignment horizontal="left" vertical="center" shrinkToFit="1"/>
      <protection locked="0"/>
    </xf>
    <xf numFmtId="0" fontId="5" fillId="3" borderId="1" xfId="0" applyFont="1" applyFill="1" applyBorder="1" applyAlignment="1" applyProtection="1">
      <alignment horizontal="center" vertical="center" shrinkToFit="1"/>
      <protection locked="0"/>
    </xf>
    <xf numFmtId="0" fontId="6" fillId="0" borderId="0" xfId="17" applyAlignment="1">
      <alignment vertical="center"/>
    </xf>
    <xf numFmtId="0" fontId="0" fillId="0" borderId="0" xfId="0" applyAlignment="1">
      <alignment horizontal="right"/>
    </xf>
    <xf numFmtId="165" fontId="5" fillId="0" borderId="1" xfId="7" applyNumberFormat="1" applyFont="1" applyFill="1" applyBorder="1" applyAlignment="1" applyProtection="1">
      <alignment horizontal="center" wrapText="1"/>
      <protection hidden="1"/>
    </xf>
    <xf numFmtId="0" fontId="16" fillId="2" borderId="12" xfId="7" applyFont="1" applyFill="1" applyBorder="1" applyAlignment="1" applyProtection="1">
      <alignment horizontal="center" wrapText="1"/>
      <protection hidden="1"/>
    </xf>
    <xf numFmtId="0" fontId="5" fillId="4" borderId="1" xfId="0" applyFont="1" applyFill="1" applyBorder="1" applyAlignment="1" applyProtection="1">
      <alignment horizontal="left" vertical="center" shrinkToFit="1"/>
      <protection locked="0"/>
    </xf>
    <xf numFmtId="0" fontId="5" fillId="4" borderId="1" xfId="0" applyFont="1" applyFill="1" applyBorder="1" applyAlignment="1" applyProtection="1">
      <alignment horizontal="center" vertical="center" shrinkToFit="1"/>
      <protection locked="0"/>
    </xf>
    <xf numFmtId="0" fontId="5" fillId="4" borderId="13" xfId="0" applyFont="1" applyFill="1" applyBorder="1" applyAlignment="1" applyProtection="1">
      <alignment horizontal="left" vertical="center" shrinkToFit="1"/>
      <protection locked="0"/>
    </xf>
    <xf numFmtId="0" fontId="5" fillId="4" borderId="13" xfId="0" applyFont="1" applyFill="1" applyBorder="1" applyAlignment="1" applyProtection="1">
      <alignment horizontal="center" vertical="center" shrinkToFit="1"/>
      <protection locked="0"/>
    </xf>
    <xf numFmtId="0" fontId="22" fillId="4" borderId="2" xfId="17" applyFont="1" applyFill="1" applyBorder="1" applyAlignment="1" applyProtection="1">
      <alignment horizontal="center" vertical="center"/>
    </xf>
    <xf numFmtId="0" fontId="23" fillId="3" borderId="14" xfId="0" applyFont="1" applyFill="1" applyBorder="1" applyAlignment="1" applyProtection="1">
      <alignment horizontal="center"/>
    </xf>
    <xf numFmtId="0" fontId="10" fillId="4" borderId="2" xfId="17" applyFont="1" applyFill="1" applyBorder="1" applyAlignment="1" applyProtection="1">
      <alignment horizontal="center" vertical="center"/>
    </xf>
    <xf numFmtId="0" fontId="10" fillId="3" borderId="2" xfId="17" applyFont="1" applyFill="1" applyBorder="1" applyAlignment="1" applyProtection="1">
      <alignment horizontal="center" vertical="center"/>
    </xf>
    <xf numFmtId="0" fontId="10" fillId="4" borderId="3" xfId="17" applyFont="1" applyFill="1" applyBorder="1" applyAlignment="1" applyProtection="1">
      <alignment horizontal="center" vertical="center"/>
    </xf>
    <xf numFmtId="49" fontId="5" fillId="4" borderId="1" xfId="17" applyNumberFormat="1" applyFont="1" applyFill="1" applyBorder="1" applyAlignment="1" applyProtection="1">
      <alignment horizontal="left" vertical="center" shrinkToFit="1"/>
      <protection locked="0"/>
    </xf>
    <xf numFmtId="49" fontId="5" fillId="3" borderId="1" xfId="17" applyNumberFormat="1" applyFont="1" applyFill="1" applyBorder="1" applyAlignment="1" applyProtection="1">
      <alignment horizontal="left" vertical="center" shrinkToFit="1"/>
      <protection locked="0"/>
    </xf>
    <xf numFmtId="49" fontId="5" fillId="4" borderId="13" xfId="17" applyNumberFormat="1" applyFont="1" applyFill="1" applyBorder="1" applyAlignment="1" applyProtection="1">
      <alignment horizontal="left" vertical="center" shrinkToFit="1"/>
      <protection locked="0"/>
    </xf>
    <xf numFmtId="0" fontId="5" fillId="5" borderId="1" xfId="0" applyFont="1" applyFill="1" applyBorder="1" applyAlignment="1" applyProtection="1">
      <alignment horizontal="center" vertical="center" shrinkToFit="1"/>
      <protection locked="0"/>
    </xf>
    <xf numFmtId="1" fontId="5" fillId="4" borderId="15" xfId="0" applyNumberFormat="1" applyFont="1" applyFill="1" applyBorder="1" applyAlignment="1" applyProtection="1">
      <alignment horizontal="center" vertical="center" shrinkToFit="1"/>
      <protection locked="0"/>
    </xf>
    <xf numFmtId="1" fontId="5" fillId="5" borderId="15" xfId="0" applyNumberFormat="1" applyFont="1" applyFill="1" applyBorder="1" applyAlignment="1" applyProtection="1">
      <alignment horizontal="center" vertical="center" shrinkToFit="1"/>
      <protection locked="0"/>
    </xf>
    <xf numFmtId="49" fontId="5" fillId="3" borderId="1" xfId="17" applyNumberFormat="1" applyFont="1" applyFill="1" applyBorder="1" applyAlignment="1" applyProtection="1">
      <alignment horizontal="left" vertical="center" shrinkToFit="1"/>
    </xf>
    <xf numFmtId="2" fontId="27" fillId="4" borderId="2" xfId="17" applyNumberFormat="1" applyFont="1" applyFill="1" applyBorder="1" applyAlignment="1" applyProtection="1">
      <alignment horizontal="right" vertical="center" shrinkToFit="1"/>
    </xf>
    <xf numFmtId="2" fontId="27" fillId="4" borderId="1" xfId="17" applyNumberFormat="1" applyFont="1" applyFill="1" applyBorder="1" applyAlignment="1" applyProtection="1">
      <alignment vertical="center" shrinkToFit="1"/>
    </xf>
    <xf numFmtId="0" fontId="27" fillId="4" borderId="1" xfId="17" applyNumberFormat="1" applyFont="1" applyFill="1" applyBorder="1" applyAlignment="1" applyProtection="1">
      <alignment horizontal="center" vertical="center" shrinkToFit="1"/>
    </xf>
    <xf numFmtId="2" fontId="27" fillId="4" borderId="10" xfId="17" applyNumberFormat="1" applyFont="1" applyFill="1" applyBorder="1" applyAlignment="1" applyProtection="1">
      <alignment vertical="center" shrinkToFit="1"/>
    </xf>
    <xf numFmtId="2" fontId="27" fillId="3" borderId="2" xfId="17" applyNumberFormat="1" applyFont="1" applyFill="1" applyBorder="1" applyAlignment="1" applyProtection="1">
      <alignment horizontal="right" vertical="center" shrinkToFit="1"/>
    </xf>
    <xf numFmtId="2" fontId="27" fillId="3" borderId="1" xfId="17" applyNumberFormat="1" applyFont="1" applyFill="1" applyBorder="1" applyAlignment="1" applyProtection="1">
      <alignment vertical="center" shrinkToFit="1"/>
    </xf>
    <xf numFmtId="0" fontId="27" fillId="3" borderId="1" xfId="17" applyNumberFormat="1" applyFont="1" applyFill="1" applyBorder="1" applyAlignment="1" applyProtection="1">
      <alignment horizontal="center" vertical="center" shrinkToFit="1"/>
    </xf>
    <xf numFmtId="2" fontId="27" fillId="3" borderId="10" xfId="17" applyNumberFormat="1" applyFont="1" applyFill="1" applyBorder="1" applyAlignment="1" applyProtection="1">
      <alignment vertical="center" shrinkToFit="1"/>
    </xf>
    <xf numFmtId="0" fontId="23" fillId="4" borderId="2" xfId="17" applyFont="1" applyFill="1" applyBorder="1" applyAlignment="1" applyProtection="1">
      <alignment horizontal="center" vertical="center"/>
    </xf>
    <xf numFmtId="49" fontId="5" fillId="4" borderId="1" xfId="17" applyNumberFormat="1" applyFont="1" applyFill="1" applyBorder="1" applyAlignment="1" applyProtection="1">
      <alignment horizontal="left" vertical="center" shrinkToFit="1"/>
    </xf>
    <xf numFmtId="0" fontId="9" fillId="0" borderId="16" xfId="17" applyNumberFormat="1" applyFont="1" applyFill="1" applyBorder="1" applyAlignment="1" applyProtection="1">
      <alignment horizontal="center" vertical="center"/>
      <protection hidden="1"/>
    </xf>
    <xf numFmtId="0" fontId="5" fillId="0" borderId="16" xfId="17" applyNumberFormat="1" applyFont="1" applyFill="1" applyBorder="1" applyAlignment="1" applyProtection="1">
      <alignment horizontal="center" vertical="center"/>
      <protection hidden="1"/>
    </xf>
    <xf numFmtId="0" fontId="9" fillId="0" borderId="17" xfId="17" applyNumberFormat="1" applyFont="1" applyFill="1" applyBorder="1" applyAlignment="1" applyProtection="1">
      <alignment horizontal="center" vertical="center"/>
      <protection hidden="1"/>
    </xf>
    <xf numFmtId="0" fontId="5" fillId="0" borderId="17" xfId="17" applyNumberFormat="1" applyFont="1" applyFill="1" applyBorder="1" applyAlignment="1" applyProtection="1">
      <alignment horizontal="center" vertical="center"/>
      <protection hidden="1"/>
    </xf>
    <xf numFmtId="169" fontId="0" fillId="0" borderId="0" xfId="3" applyNumberFormat="1" applyFont="1"/>
    <xf numFmtId="169" fontId="0" fillId="0" borderId="0" xfId="3" applyNumberFormat="1" applyFont="1" applyBorder="1"/>
    <xf numFmtId="0" fontId="16" fillId="2" borderId="18" xfId="0" applyFont="1" applyFill="1" applyBorder="1" applyProtection="1"/>
    <xf numFmtId="0" fontId="24" fillId="2" borderId="18" xfId="0" applyFont="1" applyFill="1" applyBorder="1" applyAlignment="1" applyProtection="1">
      <alignment horizontal="right" vertical="center"/>
    </xf>
    <xf numFmtId="164" fontId="16" fillId="2" borderId="19" xfId="17" applyNumberFormat="1" applyFont="1" applyFill="1" applyBorder="1" applyAlignment="1" applyProtection="1">
      <alignment horizontal="right"/>
    </xf>
    <xf numFmtId="0" fontId="16" fillId="2" borderId="20" xfId="0" applyFont="1" applyFill="1" applyBorder="1" applyProtection="1"/>
    <xf numFmtId="0" fontId="16" fillId="2" borderId="0" xfId="0" applyFont="1" applyFill="1" applyBorder="1" applyProtection="1"/>
    <xf numFmtId="0" fontId="24" fillId="2" borderId="0" xfId="0" applyFont="1" applyFill="1" applyBorder="1" applyAlignment="1" applyProtection="1">
      <alignment horizontal="right" vertical="center"/>
    </xf>
    <xf numFmtId="164" fontId="16" fillId="2" borderId="21" xfId="0" applyNumberFormat="1" applyFont="1" applyFill="1" applyBorder="1" applyAlignment="1" applyProtection="1">
      <alignment horizontal="right"/>
    </xf>
    <xf numFmtId="164" fontId="21" fillId="2" borderId="22" xfId="0" applyNumberFormat="1" applyFont="1" applyFill="1" applyBorder="1" applyAlignment="1" applyProtection="1">
      <alignment horizontal="right"/>
    </xf>
    <xf numFmtId="0" fontId="16" fillId="2" borderId="21" xfId="0" applyFont="1" applyFill="1" applyBorder="1" applyAlignment="1" applyProtection="1">
      <alignment horizontal="right"/>
    </xf>
    <xf numFmtId="0" fontId="16" fillId="2" borderId="23" xfId="0" applyFont="1" applyFill="1" applyBorder="1" applyProtection="1"/>
    <xf numFmtId="0" fontId="16" fillId="2" borderId="24" xfId="0" applyFont="1" applyFill="1" applyBorder="1" applyProtection="1"/>
    <xf numFmtId="0" fontId="21" fillId="2" borderId="24" xfId="0" applyFont="1" applyFill="1" applyBorder="1" applyAlignment="1" applyProtection="1">
      <alignment horizontal="right" vertical="center"/>
    </xf>
    <xf numFmtId="164" fontId="16" fillId="2" borderId="25" xfId="17" applyNumberFormat="1" applyFont="1" applyFill="1" applyBorder="1" applyAlignment="1" applyProtection="1">
      <alignment horizontal="right" vertical="center"/>
    </xf>
    <xf numFmtId="0" fontId="19" fillId="2" borderId="0" xfId="0" applyFont="1" applyFill="1" applyBorder="1" applyAlignment="1" applyProtection="1">
      <alignment horizontal="center" vertical="center"/>
      <protection locked="0"/>
    </xf>
    <xf numFmtId="0" fontId="0" fillId="0" borderId="0" xfId="0" applyFill="1" applyBorder="1" applyProtection="1"/>
    <xf numFmtId="0" fontId="19" fillId="2" borderId="26" xfId="0" applyFont="1" applyFill="1" applyBorder="1" applyAlignment="1" applyProtection="1">
      <alignment horizontal="center" vertical="center"/>
      <protection locked="0"/>
    </xf>
    <xf numFmtId="169" fontId="0" fillId="0" borderId="27" xfId="3" applyNumberFormat="1" applyFont="1" applyBorder="1"/>
    <xf numFmtId="1" fontId="6" fillId="0" borderId="0" xfId="17" applyNumberFormat="1" applyFill="1"/>
    <xf numFmtId="0" fontId="6" fillId="0" borderId="0" xfId="17" applyFill="1"/>
    <xf numFmtId="1" fontId="7" fillId="0" borderId="0" xfId="17" applyNumberFormat="1" applyFont="1" applyFill="1" applyProtection="1"/>
    <xf numFmtId="0" fontId="6" fillId="0" borderId="0" xfId="17" applyFill="1" applyBorder="1" applyAlignment="1" applyProtection="1"/>
    <xf numFmtId="2" fontId="8" fillId="0" borderId="0" xfId="17" applyNumberFormat="1" applyFont="1" applyFill="1" applyProtection="1"/>
    <xf numFmtId="0" fontId="0" fillId="0" borderId="0" xfId="0" applyFill="1"/>
    <xf numFmtId="1" fontId="8" fillId="0" borderId="0" xfId="17" applyNumberFormat="1" applyFont="1" applyFill="1" applyAlignment="1" applyProtection="1">
      <alignment horizontal="center"/>
    </xf>
    <xf numFmtId="49" fontId="8" fillId="0" borderId="0" xfId="17" applyNumberFormat="1" applyFont="1" applyFill="1" applyAlignment="1" applyProtection="1">
      <alignment horizontal="right"/>
    </xf>
    <xf numFmtId="0" fontId="6" fillId="0" borderId="0" xfId="17" applyFill="1" applyProtection="1"/>
    <xf numFmtId="2" fontId="7" fillId="0" borderId="0" xfId="17" applyNumberFormat="1" applyFont="1" applyFill="1" applyAlignment="1" applyProtection="1">
      <alignment horizontal="right"/>
    </xf>
    <xf numFmtId="0" fontId="0" fillId="0" borderId="0" xfId="0" applyFill="1" applyProtection="1"/>
    <xf numFmtId="0" fontId="15" fillId="0" borderId="0" xfId="0" applyFont="1" applyFill="1" applyBorder="1" applyAlignment="1" applyProtection="1">
      <alignment horizontal="left"/>
    </xf>
    <xf numFmtId="1" fontId="7" fillId="0" borderId="0" xfId="17" applyNumberFormat="1" applyFont="1" applyFill="1" applyAlignment="1" applyProtection="1">
      <alignment horizontal="left"/>
    </xf>
    <xf numFmtId="1" fontId="7" fillId="0" borderId="0" xfId="17" applyNumberFormat="1" applyFont="1" applyFill="1" applyAlignment="1" applyProtection="1">
      <alignment horizontal="center"/>
    </xf>
    <xf numFmtId="0" fontId="9" fillId="0" borderId="0" xfId="17" applyFont="1" applyFill="1" applyBorder="1" applyAlignment="1" applyProtection="1">
      <alignment horizontal="center"/>
    </xf>
    <xf numFmtId="1" fontId="6" fillId="0" borderId="0" xfId="17" applyNumberFormat="1" applyFill="1" applyProtection="1"/>
    <xf numFmtId="0" fontId="6" fillId="0" borderId="0" xfId="17" applyFill="1" applyBorder="1" applyAlignment="1" applyProtection="1">
      <alignment horizontal="center" vertical="center"/>
    </xf>
    <xf numFmtId="0" fontId="3" fillId="0" borderId="0" xfId="17" applyFont="1" applyFill="1" applyBorder="1" applyAlignment="1" applyProtection="1">
      <alignment horizontal="center"/>
    </xf>
    <xf numFmtId="0" fontId="6" fillId="0" borderId="0" xfId="17" applyFill="1" applyBorder="1" applyAlignment="1" applyProtection="1">
      <alignment horizontal="center" vertical="center" wrapText="1"/>
    </xf>
    <xf numFmtId="0" fontId="9" fillId="0" borderId="0" xfId="17" applyFont="1" applyFill="1" applyBorder="1" applyAlignment="1" applyProtection="1">
      <alignment horizontal="right"/>
    </xf>
    <xf numFmtId="0" fontId="14" fillId="0" borderId="0" xfId="0" applyFont="1" applyFill="1" applyBorder="1" applyProtection="1"/>
    <xf numFmtId="0" fontId="5" fillId="0" borderId="0" xfId="17" applyFont="1" applyFill="1" applyBorder="1" applyProtection="1"/>
    <xf numFmtId="0" fontId="5" fillId="0" borderId="0" xfId="0" applyFont="1" applyFill="1" applyProtection="1"/>
    <xf numFmtId="0" fontId="5" fillId="0" borderId="0" xfId="17" applyFont="1" applyFill="1" applyBorder="1" applyAlignment="1" applyProtection="1">
      <alignment horizontal="left"/>
    </xf>
    <xf numFmtId="0" fontId="18" fillId="0" borderId="0" xfId="17" applyFont="1" applyFill="1" applyBorder="1" applyProtection="1"/>
    <xf numFmtId="1" fontId="25" fillId="0" borderId="0" xfId="17" applyNumberFormat="1" applyFont="1" applyFill="1" applyProtection="1"/>
    <xf numFmtId="1" fontId="26" fillId="0" borderId="0" xfId="17" applyNumberFormat="1" applyFont="1" applyFill="1"/>
    <xf numFmtId="0" fontId="26" fillId="0" borderId="0" xfId="17" applyFont="1" applyFill="1" applyProtection="1"/>
    <xf numFmtId="0" fontId="18" fillId="0" borderId="0" xfId="17" applyFont="1" applyFill="1" applyProtection="1"/>
    <xf numFmtId="0" fontId="10" fillId="6" borderId="28" xfId="17" applyFont="1" applyFill="1" applyBorder="1" applyAlignment="1" applyProtection="1">
      <alignment horizontal="center" vertical="center"/>
    </xf>
    <xf numFmtId="49" fontId="5" fillId="6" borderId="29" xfId="17" applyNumberFormat="1" applyFont="1" applyFill="1" applyBorder="1" applyAlignment="1" applyProtection="1">
      <alignment horizontal="left" vertical="center" shrinkToFit="1"/>
      <protection locked="0"/>
    </xf>
    <xf numFmtId="0" fontId="5" fillId="6" borderId="29" xfId="0" applyFont="1" applyFill="1" applyBorder="1" applyAlignment="1" applyProtection="1">
      <alignment horizontal="left" vertical="center" shrinkToFit="1"/>
      <protection locked="0"/>
    </xf>
    <xf numFmtId="0" fontId="5" fillId="6" borderId="29" xfId="0" applyFont="1" applyFill="1" applyBorder="1" applyAlignment="1" applyProtection="1">
      <alignment horizontal="center" vertical="center" shrinkToFit="1"/>
      <protection locked="0"/>
    </xf>
    <xf numFmtId="1" fontId="5" fillId="6" borderId="29" xfId="0" applyNumberFormat="1" applyFont="1" applyFill="1" applyBorder="1" applyAlignment="1" applyProtection="1">
      <alignment horizontal="center" vertical="center" shrinkToFit="1"/>
      <protection locked="0"/>
    </xf>
    <xf numFmtId="0" fontId="5" fillId="6" borderId="1" xfId="0" applyFont="1" applyFill="1" applyBorder="1" applyAlignment="1" applyProtection="1">
      <alignment horizontal="center" vertical="center" shrinkToFit="1"/>
      <protection locked="0"/>
    </xf>
    <xf numFmtId="1" fontId="5" fillId="6" borderId="15" xfId="0" applyNumberFormat="1" applyFont="1" applyFill="1" applyBorder="1" applyAlignment="1" applyProtection="1">
      <alignment horizontal="center" vertical="center" shrinkToFit="1"/>
      <protection locked="0"/>
    </xf>
    <xf numFmtId="0" fontId="23" fillId="6" borderId="28" xfId="17" applyFont="1" applyFill="1" applyBorder="1" applyAlignment="1" applyProtection="1">
      <alignment horizontal="center" vertical="center"/>
    </xf>
    <xf numFmtId="0" fontId="22" fillId="6" borderId="28" xfId="17" applyFont="1" applyFill="1" applyBorder="1" applyAlignment="1" applyProtection="1">
      <alignment horizontal="center" vertical="center"/>
    </xf>
    <xf numFmtId="2" fontId="27" fillId="6" borderId="28" xfId="17" applyNumberFormat="1" applyFont="1" applyFill="1" applyBorder="1" applyAlignment="1" applyProtection="1">
      <alignment horizontal="right" vertical="center" shrinkToFit="1"/>
    </xf>
    <xf numFmtId="2" fontId="27" fillId="6" borderId="29" xfId="17" applyNumberFormat="1" applyFont="1" applyFill="1" applyBorder="1" applyAlignment="1" applyProtection="1">
      <alignment vertical="center" shrinkToFit="1"/>
    </xf>
    <xf numFmtId="0" fontId="27" fillId="6" borderId="29" xfId="17" applyNumberFormat="1" applyFont="1" applyFill="1" applyBorder="1" applyAlignment="1" applyProtection="1">
      <alignment horizontal="center" vertical="center" shrinkToFit="1"/>
    </xf>
    <xf numFmtId="2" fontId="27" fillId="6" borderId="30" xfId="17" applyNumberFormat="1" applyFont="1" applyFill="1" applyBorder="1" applyAlignment="1" applyProtection="1">
      <alignment vertical="center" shrinkToFit="1"/>
    </xf>
    <xf numFmtId="0" fontId="5" fillId="6" borderId="29" xfId="17" applyNumberFormat="1" applyFont="1" applyFill="1" applyBorder="1" applyAlignment="1" applyProtection="1">
      <alignment horizontal="left" vertical="center" shrinkToFit="1"/>
    </xf>
    <xf numFmtId="2" fontId="19" fillId="2" borderId="31" xfId="17" applyNumberFormat="1" applyFont="1" applyFill="1" applyBorder="1" applyAlignment="1" applyProtection="1">
      <alignment horizontal="center" vertical="center" wrapText="1"/>
      <protection hidden="1"/>
    </xf>
    <xf numFmtId="0" fontId="16" fillId="2" borderId="32" xfId="0" applyFont="1" applyFill="1" applyBorder="1" applyAlignment="1" applyProtection="1">
      <alignment horizontal="right"/>
    </xf>
    <xf numFmtId="0" fontId="16" fillId="2" borderId="20" xfId="0" applyFont="1" applyFill="1" applyBorder="1" applyAlignment="1" applyProtection="1">
      <alignment horizontal="right"/>
    </xf>
    <xf numFmtId="164" fontId="0" fillId="0" borderId="0" xfId="0" applyNumberFormat="1"/>
    <xf numFmtId="0" fontId="5" fillId="0" borderId="0" xfId="17" applyFont="1" applyAlignment="1">
      <alignment horizontal="right"/>
    </xf>
    <xf numFmtId="0" fontId="1" fillId="0" borderId="0" xfId="17" applyFont="1"/>
    <xf numFmtId="1" fontId="4" fillId="0" borderId="0" xfId="17" applyNumberFormat="1" applyFont="1" applyFill="1" applyBorder="1" applyAlignment="1" applyProtection="1">
      <alignment horizontal="right" vertical="center"/>
    </xf>
    <xf numFmtId="0" fontId="4" fillId="0" borderId="0" xfId="0" applyFont="1" applyFill="1" applyBorder="1" applyAlignment="1" applyProtection="1">
      <alignment horizontal="right" vertical="center"/>
    </xf>
    <xf numFmtId="0" fontId="6" fillId="0" borderId="0" xfId="17" applyFill="1" applyAlignment="1">
      <alignment horizontal="right"/>
    </xf>
    <xf numFmtId="0" fontId="4" fillId="0" borderId="0" xfId="0" applyFont="1" applyFill="1" applyBorder="1" applyAlignment="1" applyProtection="1">
      <alignment horizontal="right"/>
    </xf>
    <xf numFmtId="168" fontId="18" fillId="0" borderId="12" xfId="12" applyNumberFormat="1" applyFont="1" applyFill="1" applyBorder="1" applyAlignment="1" applyProtection="1">
      <alignment horizontal="center" wrapText="1"/>
      <protection hidden="1"/>
    </xf>
    <xf numFmtId="0" fontId="18" fillId="0" borderId="1" xfId="12" applyFont="1" applyFill="1" applyBorder="1" applyAlignment="1" applyProtection="1">
      <alignment horizontal="center" wrapText="1"/>
      <protection hidden="1"/>
    </xf>
    <xf numFmtId="0" fontId="18" fillId="0" borderId="12" xfId="12" applyFont="1" applyFill="1" applyBorder="1" applyAlignment="1" applyProtection="1">
      <alignment horizontal="center" wrapText="1"/>
      <protection hidden="1"/>
    </xf>
    <xf numFmtId="0" fontId="18" fillId="0" borderId="1" xfId="12" applyFont="1" applyFill="1" applyBorder="1" applyAlignment="1" applyProtection="1">
      <alignment horizontal="left" wrapText="1"/>
      <protection hidden="1"/>
    </xf>
    <xf numFmtId="0" fontId="18" fillId="0" borderId="12" xfId="12" applyFont="1" applyFill="1" applyBorder="1" applyAlignment="1" applyProtection="1">
      <alignment horizontal="left" wrapText="1"/>
      <protection hidden="1"/>
    </xf>
    <xf numFmtId="9" fontId="18" fillId="0" borderId="1" xfId="12" applyNumberFormat="1" applyFont="1" applyFill="1" applyBorder="1" applyAlignment="1" applyProtection="1">
      <alignment horizontal="left" wrapText="1"/>
      <protection hidden="1"/>
    </xf>
    <xf numFmtId="0" fontId="35" fillId="0" borderId="12" xfId="12" applyFont="1" applyFill="1" applyBorder="1" applyAlignment="1" applyProtection="1">
      <alignment horizontal="center" wrapText="1"/>
      <protection hidden="1"/>
    </xf>
    <xf numFmtId="0" fontId="10" fillId="0" borderId="0" xfId="14" applyFont="1" applyAlignment="1" applyProtection="1">
      <alignment horizontal="right"/>
      <protection hidden="1"/>
    </xf>
    <xf numFmtId="0" fontId="5" fillId="0" borderId="0" xfId="14" applyFont="1" applyProtection="1">
      <protection hidden="1"/>
    </xf>
    <xf numFmtId="0" fontId="5" fillId="0" borderId="0" xfId="14" applyFont="1" applyFill="1" applyBorder="1" applyProtection="1">
      <protection hidden="1"/>
    </xf>
    <xf numFmtId="0" fontId="10" fillId="7" borderId="0" xfId="14" applyFont="1" applyFill="1" applyBorder="1" applyAlignment="1" applyProtection="1">
      <alignment horizontal="center"/>
      <protection hidden="1"/>
    </xf>
    <xf numFmtId="0" fontId="10" fillId="7" borderId="0" xfId="14" applyFont="1" applyFill="1" applyAlignment="1" applyProtection="1">
      <alignment horizontal="center"/>
      <protection hidden="1"/>
    </xf>
    <xf numFmtId="0" fontId="16" fillId="2" borderId="4" xfId="14" applyFont="1" applyFill="1" applyBorder="1" applyAlignment="1" applyProtection="1">
      <alignment horizontal="center" wrapText="1"/>
      <protection hidden="1"/>
    </xf>
    <xf numFmtId="0" fontId="16" fillId="0" borderId="12" xfId="14" applyFont="1" applyFill="1" applyBorder="1" applyAlignment="1" applyProtection="1">
      <alignment horizontal="center" wrapText="1"/>
      <protection hidden="1"/>
    </xf>
    <xf numFmtId="0" fontId="16" fillId="2" borderId="12" xfId="14" applyFont="1" applyFill="1" applyBorder="1" applyAlignment="1" applyProtection="1">
      <alignment horizontal="center" wrapText="1"/>
      <protection hidden="1"/>
    </xf>
    <xf numFmtId="0" fontId="16" fillId="2" borderId="33" xfId="14" applyFont="1" applyFill="1" applyBorder="1" applyAlignment="1" applyProtection="1">
      <alignment horizontal="center" wrapText="1"/>
      <protection hidden="1"/>
    </xf>
    <xf numFmtId="0" fontId="16" fillId="2" borderId="34" xfId="14" applyFont="1" applyFill="1" applyBorder="1" applyAlignment="1" applyProtection="1">
      <alignment horizontal="center" wrapText="1"/>
      <protection hidden="1"/>
    </xf>
    <xf numFmtId="0" fontId="16" fillId="2" borderId="35" xfId="14" applyFont="1" applyFill="1" applyBorder="1" applyAlignment="1" applyProtection="1">
      <alignment horizontal="center" wrapText="1"/>
      <protection hidden="1"/>
    </xf>
    <xf numFmtId="0" fontId="16" fillId="2" borderId="36" xfId="14" applyFont="1" applyFill="1" applyBorder="1" applyAlignment="1" applyProtection="1">
      <alignment horizontal="center" wrapText="1"/>
      <protection hidden="1"/>
    </xf>
    <xf numFmtId="168" fontId="18" fillId="0" borderId="12" xfId="14" applyNumberFormat="1" applyFont="1" applyFill="1" applyBorder="1" applyAlignment="1" applyProtection="1">
      <alignment horizontal="center" wrapText="1"/>
      <protection hidden="1"/>
    </xf>
    <xf numFmtId="0" fontId="18" fillId="0" borderId="1" xfId="14" applyFont="1" applyFill="1" applyBorder="1" applyAlignment="1" applyProtection="1">
      <alignment horizontal="center" wrapText="1"/>
      <protection hidden="1"/>
    </xf>
    <xf numFmtId="0" fontId="18" fillId="0" borderId="12" xfId="14" applyFont="1" applyFill="1" applyBorder="1" applyAlignment="1" applyProtection="1">
      <alignment horizontal="center" wrapText="1"/>
      <protection hidden="1"/>
    </xf>
    <xf numFmtId="0" fontId="18" fillId="0" borderId="1" xfId="14" applyFont="1" applyFill="1" applyBorder="1" applyAlignment="1" applyProtection="1">
      <alignment horizontal="left" wrapText="1"/>
      <protection hidden="1"/>
    </xf>
    <xf numFmtId="165" fontId="5" fillId="0" borderId="1" xfId="14" applyNumberFormat="1" applyFont="1" applyFill="1" applyBorder="1" applyAlignment="1" applyProtection="1">
      <alignment horizontal="center" wrapText="1"/>
      <protection hidden="1"/>
    </xf>
    <xf numFmtId="0" fontId="18" fillId="0" borderId="12" xfId="14" applyFont="1" applyFill="1" applyBorder="1" applyAlignment="1" applyProtection="1">
      <alignment horizontal="left" wrapText="1"/>
      <protection hidden="1"/>
    </xf>
    <xf numFmtId="9" fontId="18" fillId="0" borderId="1" xfId="14" applyNumberFormat="1" applyFont="1" applyFill="1" applyBorder="1" applyAlignment="1" applyProtection="1">
      <alignment horizontal="left" wrapText="1"/>
      <protection hidden="1"/>
    </xf>
    <xf numFmtId="0" fontId="5" fillId="0" borderId="1" xfId="14" applyFont="1" applyFill="1" applyBorder="1" applyAlignment="1" applyProtection="1">
      <alignment horizontal="center" wrapText="1"/>
      <protection hidden="1"/>
    </xf>
    <xf numFmtId="0" fontId="5" fillId="0" borderId="37" xfId="14" applyFont="1" applyBorder="1" applyProtection="1">
      <protection hidden="1"/>
    </xf>
    <xf numFmtId="169" fontId="5" fillId="0" borderId="38" xfId="14" applyNumberFormat="1" applyFont="1" applyBorder="1" applyAlignment="1" applyProtection="1">
      <alignment horizontal="left"/>
      <protection hidden="1"/>
    </xf>
    <xf numFmtId="0" fontId="5" fillId="0" borderId="0" xfId="14" applyFont="1" applyAlignment="1" applyProtection="1">
      <alignment horizontal="center"/>
      <protection hidden="1"/>
    </xf>
    <xf numFmtId="0" fontId="5" fillId="0" borderId="12" xfId="14" applyFont="1" applyFill="1" applyBorder="1" applyAlignment="1" applyProtection="1">
      <alignment horizontal="center" wrapText="1"/>
      <protection hidden="1"/>
    </xf>
    <xf numFmtId="49" fontId="0" fillId="3" borderId="25" xfId="17" applyNumberFormat="1" applyFont="1" applyFill="1" applyBorder="1" applyAlignment="1" applyProtection="1">
      <alignment horizontal="left" vertical="center"/>
      <protection locked="0"/>
    </xf>
    <xf numFmtId="49" fontId="0" fillId="0" borderId="0" xfId="0" applyNumberFormat="1"/>
    <xf numFmtId="0" fontId="5" fillId="0" borderId="0" xfId="17" applyFont="1" applyFill="1"/>
    <xf numFmtId="0" fontId="5" fillId="0" borderId="18" xfId="17" applyFont="1" applyFill="1" applyBorder="1" applyAlignment="1" applyProtection="1">
      <alignment horizontal="left"/>
    </xf>
    <xf numFmtId="0" fontId="5" fillId="0" borderId="18" xfId="17" applyFont="1" applyFill="1" applyBorder="1" applyProtection="1"/>
    <xf numFmtId="2" fontId="19" fillId="2" borderId="18" xfId="17" applyNumberFormat="1" applyFont="1" applyFill="1" applyBorder="1" applyAlignment="1" applyProtection="1">
      <alignment horizontal="center" vertical="center" wrapText="1"/>
      <protection hidden="1"/>
    </xf>
    <xf numFmtId="0" fontId="0" fillId="0" borderId="0" xfId="0" applyNumberFormat="1"/>
    <xf numFmtId="0" fontId="5" fillId="8" borderId="1" xfId="0" applyFont="1" applyFill="1" applyBorder="1" applyAlignment="1" applyProtection="1">
      <alignment horizontal="center" vertical="center" shrinkToFit="1"/>
      <protection locked="0"/>
    </xf>
    <xf numFmtId="1" fontId="39" fillId="9" borderId="5" xfId="17" applyNumberFormat="1" applyFont="1" applyFill="1" applyBorder="1" applyAlignment="1" applyProtection="1">
      <alignment horizontal="center" vertical="center"/>
    </xf>
    <xf numFmtId="2" fontId="39" fillId="9" borderId="7" xfId="17" applyNumberFormat="1" applyFont="1" applyFill="1" applyBorder="1" applyAlignment="1" applyProtection="1">
      <alignment horizontal="center" vertical="center"/>
    </xf>
    <xf numFmtId="2" fontId="39" fillId="9" borderId="7" xfId="17" applyNumberFormat="1" applyFont="1" applyFill="1" applyBorder="1" applyAlignment="1" applyProtection="1">
      <alignment horizontal="center" vertical="center" wrapText="1"/>
    </xf>
    <xf numFmtId="0" fontId="39" fillId="9" borderId="7" xfId="0" applyFont="1" applyFill="1" applyBorder="1" applyAlignment="1" applyProtection="1">
      <alignment horizontal="center" vertical="center"/>
    </xf>
    <xf numFmtId="1" fontId="39" fillId="9" borderId="7" xfId="17" applyNumberFormat="1" applyFont="1" applyFill="1" applyBorder="1" applyAlignment="1" applyProtection="1">
      <alignment horizontal="center" vertical="center" wrapText="1"/>
    </xf>
    <xf numFmtId="0" fontId="39" fillId="9" borderId="7" xfId="0" applyFont="1" applyFill="1" applyBorder="1" applyAlignment="1" applyProtection="1">
      <alignment horizontal="center" vertical="center" wrapText="1"/>
    </xf>
    <xf numFmtId="1" fontId="39" fillId="9" borderId="7" xfId="17" applyNumberFormat="1" applyFont="1" applyFill="1" applyBorder="1" applyAlignment="1" applyProtection="1">
      <alignment horizontal="center" vertical="center" wrapText="1"/>
      <protection hidden="1"/>
    </xf>
    <xf numFmtId="1" fontId="39" fillId="9" borderId="26" xfId="17" applyNumberFormat="1" applyFont="1" applyFill="1" applyBorder="1" applyAlignment="1" applyProtection="1">
      <alignment horizontal="center" vertical="center"/>
    </xf>
    <xf numFmtId="2" fontId="41" fillId="9" borderId="31" xfId="17" applyNumberFormat="1" applyFont="1" applyFill="1" applyBorder="1" applyAlignment="1" applyProtection="1">
      <alignment horizontal="right"/>
    </xf>
    <xf numFmtId="0" fontId="42" fillId="9" borderId="26" xfId="17" applyFont="1" applyFill="1" applyBorder="1" applyProtection="1"/>
    <xf numFmtId="0" fontId="39" fillId="9" borderId="8" xfId="0" applyFont="1" applyFill="1" applyBorder="1" applyAlignment="1" applyProtection="1">
      <alignment vertical="center"/>
    </xf>
    <xf numFmtId="2" fontId="39" fillId="9" borderId="39" xfId="17" applyNumberFormat="1" applyFont="1" applyFill="1" applyBorder="1" applyAlignment="1" applyProtection="1">
      <alignment horizontal="center" vertical="center" wrapText="1"/>
    </xf>
    <xf numFmtId="2" fontId="39" fillId="9" borderId="40" xfId="17" applyNumberFormat="1" applyFont="1" applyFill="1" applyBorder="1" applyAlignment="1" applyProtection="1">
      <alignment horizontal="center" vertical="center" wrapText="1"/>
    </xf>
    <xf numFmtId="2" fontId="39" fillId="9" borderId="4" xfId="17" applyNumberFormat="1" applyFont="1" applyFill="1" applyBorder="1" applyAlignment="1" applyProtection="1">
      <alignment horizontal="center" vertical="center" wrapText="1"/>
    </xf>
    <xf numFmtId="2" fontId="39" fillId="9" borderId="6" xfId="17" quotePrefix="1" applyNumberFormat="1" applyFont="1" applyFill="1" applyBorder="1" applyAlignment="1" applyProtection="1">
      <alignment horizontal="center" vertical="center"/>
    </xf>
    <xf numFmtId="0" fontId="43" fillId="9" borderId="20" xfId="0" applyFont="1" applyFill="1" applyBorder="1" applyProtection="1"/>
    <xf numFmtId="0" fontId="43" fillId="9" borderId="0" xfId="0" applyFont="1" applyFill="1" applyBorder="1" applyProtection="1"/>
    <xf numFmtId="0" fontId="41" fillId="9" borderId="0" xfId="0" applyFont="1" applyFill="1" applyBorder="1" applyAlignment="1" applyProtection="1">
      <alignment horizontal="right" vertical="center"/>
    </xf>
    <xf numFmtId="0" fontId="43" fillId="9" borderId="23" xfId="0" applyFont="1" applyFill="1" applyBorder="1" applyProtection="1"/>
    <xf numFmtId="0" fontId="43" fillId="9" borderId="24" xfId="0" applyFont="1" applyFill="1" applyBorder="1" applyProtection="1"/>
    <xf numFmtId="0" fontId="32" fillId="9" borderId="24" xfId="0" applyFont="1" applyFill="1" applyBorder="1" applyAlignment="1" applyProtection="1">
      <alignment horizontal="right" vertical="center"/>
    </xf>
    <xf numFmtId="165" fontId="43" fillId="9" borderId="41" xfId="17" applyNumberFormat="1" applyFont="1" applyFill="1" applyBorder="1" applyAlignment="1" applyProtection="1">
      <alignment horizontal="right" vertical="center"/>
    </xf>
    <xf numFmtId="0" fontId="18" fillId="0" borderId="1" xfId="7" applyFont="1" applyFill="1" applyBorder="1" applyAlignment="1" applyProtection="1">
      <alignment horizontal="center"/>
      <protection hidden="1"/>
    </xf>
    <xf numFmtId="0" fontId="18" fillId="0" borderId="1" xfId="7" applyFont="1" applyFill="1" applyBorder="1" applyAlignment="1" applyProtection="1">
      <alignment horizontal="left"/>
      <protection hidden="1"/>
    </xf>
    <xf numFmtId="165" fontId="18" fillId="0" borderId="1" xfId="7" applyNumberFormat="1" applyFont="1" applyFill="1" applyBorder="1" applyAlignment="1" applyProtection="1">
      <alignment horizontal="center"/>
      <protection hidden="1"/>
    </xf>
    <xf numFmtId="0" fontId="5" fillId="0" borderId="42" xfId="17" applyNumberFormat="1" applyFont="1" applyFill="1" applyBorder="1" applyAlignment="1" applyProtection="1">
      <alignment horizontal="left" vertical="center" wrapText="1"/>
    </xf>
    <xf numFmtId="165" fontId="5" fillId="0" borderId="1" xfId="0" applyNumberFormat="1" applyFont="1" applyBorder="1" applyAlignment="1" applyProtection="1">
      <alignment horizontal="center" wrapText="1"/>
      <protection hidden="1"/>
    </xf>
    <xf numFmtId="165" fontId="5" fillId="0" borderId="15" xfId="0" applyNumberFormat="1" applyFont="1" applyBorder="1" applyAlignment="1" applyProtection="1">
      <alignment horizontal="center" wrapText="1"/>
      <protection hidden="1"/>
    </xf>
    <xf numFmtId="0" fontId="18" fillId="0" borderId="1" xfId="0" applyFont="1" applyBorder="1" applyAlignment="1" applyProtection="1">
      <alignment horizontal="center" wrapText="1"/>
      <protection hidden="1"/>
    </xf>
    <xf numFmtId="0" fontId="18" fillId="0" borderId="15" xfId="0" applyFont="1" applyBorder="1" applyAlignment="1" applyProtection="1">
      <alignment horizontal="center" wrapText="1"/>
      <protection hidden="1"/>
    </xf>
    <xf numFmtId="0" fontId="16" fillId="2" borderId="4" xfId="0" applyFont="1" applyFill="1" applyBorder="1" applyAlignment="1" applyProtection="1">
      <alignment horizontal="center" wrapText="1"/>
      <protection hidden="1"/>
    </xf>
    <xf numFmtId="0" fontId="16" fillId="2" borderId="12" xfId="0" applyFont="1" applyFill="1" applyBorder="1" applyAlignment="1" applyProtection="1">
      <alignment horizontal="center" wrapText="1"/>
      <protection hidden="1"/>
    </xf>
    <xf numFmtId="0" fontId="46" fillId="0" borderId="0" xfId="0" applyFont="1"/>
    <xf numFmtId="0" fontId="19" fillId="2" borderId="43" xfId="0" applyFont="1" applyFill="1" applyBorder="1" applyAlignment="1" applyProtection="1">
      <alignment horizontal="center" vertical="center"/>
      <protection locked="0"/>
    </xf>
    <xf numFmtId="0" fontId="18" fillId="0" borderId="0" xfId="0" applyFont="1"/>
    <xf numFmtId="1" fontId="44" fillId="9" borderId="31" xfId="17" applyNumberFormat="1" applyFont="1" applyFill="1" applyBorder="1" applyAlignment="1" applyProtection="1">
      <alignment vertical="center" wrapText="1"/>
    </xf>
    <xf numFmtId="1" fontId="44" fillId="9" borderId="27" xfId="17" applyNumberFormat="1" applyFont="1" applyFill="1" applyBorder="1" applyAlignment="1" applyProtection="1">
      <alignment vertical="center" wrapText="1"/>
    </xf>
    <xf numFmtId="1" fontId="41" fillId="9" borderId="27" xfId="17" applyNumberFormat="1" applyFont="1" applyFill="1" applyBorder="1" applyAlignment="1" applyProtection="1">
      <alignment horizontal="left"/>
    </xf>
    <xf numFmtId="0" fontId="10" fillId="6" borderId="44" xfId="17" applyFont="1" applyFill="1" applyBorder="1" applyAlignment="1" applyProtection="1">
      <alignment horizontal="center" vertical="center"/>
    </xf>
    <xf numFmtId="49" fontId="5" fillId="6" borderId="15" xfId="17" applyNumberFormat="1" applyFont="1" applyFill="1" applyBorder="1" applyAlignment="1" applyProtection="1">
      <alignment horizontal="left" vertical="center" shrinkToFit="1"/>
      <protection locked="0"/>
    </xf>
    <xf numFmtId="0" fontId="5" fillId="6" borderId="15" xfId="0" applyFont="1" applyFill="1" applyBorder="1" applyAlignment="1" applyProtection="1">
      <alignment horizontal="left" vertical="center" shrinkToFit="1"/>
      <protection locked="0"/>
    </xf>
    <xf numFmtId="0" fontId="5" fillId="6" borderId="15" xfId="0" applyFont="1" applyFill="1" applyBorder="1" applyAlignment="1" applyProtection="1">
      <alignment horizontal="center" vertical="center" shrinkToFit="1"/>
      <protection locked="0"/>
    </xf>
    <xf numFmtId="0" fontId="23" fillId="6" borderId="44" xfId="17" applyFont="1" applyFill="1" applyBorder="1" applyAlignment="1" applyProtection="1">
      <alignment horizontal="center" vertical="center"/>
    </xf>
    <xf numFmtId="0" fontId="5" fillId="6" borderId="15" xfId="17" applyNumberFormat="1" applyFont="1" applyFill="1" applyBorder="1" applyAlignment="1" applyProtection="1">
      <alignment horizontal="left" vertical="center" shrinkToFit="1"/>
    </xf>
    <xf numFmtId="0" fontId="22" fillId="6" borderId="44" xfId="17" applyFont="1" applyFill="1" applyBorder="1" applyAlignment="1" applyProtection="1">
      <alignment horizontal="center" vertical="center"/>
    </xf>
    <xf numFmtId="2" fontId="27" fillId="6" borderId="44" xfId="17" applyNumberFormat="1" applyFont="1" applyFill="1" applyBorder="1" applyAlignment="1" applyProtection="1">
      <alignment horizontal="right" vertical="center" shrinkToFit="1"/>
    </xf>
    <xf numFmtId="2" fontId="27" fillId="6" borderId="15" xfId="17" applyNumberFormat="1" applyFont="1" applyFill="1" applyBorder="1" applyAlignment="1" applyProtection="1">
      <alignment vertical="center" shrinkToFit="1"/>
    </xf>
    <xf numFmtId="0" fontId="27" fillId="6" borderId="15" xfId="17" applyNumberFormat="1" applyFont="1" applyFill="1" applyBorder="1" applyAlignment="1" applyProtection="1">
      <alignment horizontal="center" vertical="center" shrinkToFit="1"/>
    </xf>
    <xf numFmtId="2" fontId="27" fillId="6" borderId="45" xfId="17" applyNumberFormat="1" applyFont="1" applyFill="1" applyBorder="1" applyAlignment="1" applyProtection="1">
      <alignment vertical="center" shrinkToFit="1"/>
    </xf>
    <xf numFmtId="0" fontId="43" fillId="9" borderId="23" xfId="17" applyFont="1" applyFill="1" applyBorder="1" applyAlignment="1" applyProtection="1">
      <alignment horizontal="center" vertical="center" wrapText="1"/>
    </xf>
    <xf numFmtId="0" fontId="41" fillId="9" borderId="41" xfId="17" applyFont="1" applyFill="1" applyBorder="1" applyAlignment="1" applyProtection="1">
      <alignment horizontal="right"/>
    </xf>
    <xf numFmtId="0" fontId="23" fillId="4" borderId="1" xfId="17" applyFont="1" applyFill="1" applyBorder="1" applyAlignment="1" applyProtection="1">
      <alignment horizontal="center" vertical="center"/>
    </xf>
    <xf numFmtId="0" fontId="22" fillId="4" borderId="46" xfId="17" applyFont="1" applyFill="1" applyBorder="1" applyAlignment="1" applyProtection="1">
      <alignment horizontal="center" vertical="center"/>
    </xf>
    <xf numFmtId="1" fontId="5" fillId="4" borderId="13" xfId="0" applyNumberFormat="1" applyFont="1" applyFill="1" applyBorder="1" applyAlignment="1" applyProtection="1">
      <alignment horizontal="center" vertical="center" shrinkToFit="1"/>
      <protection locked="0"/>
    </xf>
    <xf numFmtId="0" fontId="5" fillId="8" borderId="13" xfId="0" applyFont="1" applyFill="1" applyBorder="1" applyAlignment="1" applyProtection="1">
      <alignment horizontal="center" vertical="center" shrinkToFit="1"/>
      <protection locked="0"/>
    </xf>
    <xf numFmtId="0" fontId="23" fillId="0" borderId="3" xfId="17" applyFont="1" applyFill="1" applyBorder="1" applyAlignment="1" applyProtection="1">
      <alignment horizontal="center" vertical="center"/>
    </xf>
    <xf numFmtId="0" fontId="5" fillId="0" borderId="15" xfId="17" applyNumberFormat="1" applyFont="1" applyFill="1" applyBorder="1" applyAlignment="1" applyProtection="1">
      <alignment horizontal="left" vertical="center" shrinkToFit="1"/>
    </xf>
    <xf numFmtId="0" fontId="22" fillId="0" borderId="47" xfId="17" applyFont="1" applyFill="1" applyBorder="1" applyAlignment="1" applyProtection="1">
      <alignment horizontal="center" vertical="center"/>
    </xf>
    <xf numFmtId="2" fontId="27" fillId="0" borderId="3" xfId="17" applyNumberFormat="1" applyFont="1" applyFill="1" applyBorder="1" applyAlignment="1" applyProtection="1">
      <alignment horizontal="right" vertical="center" shrinkToFit="1"/>
    </xf>
    <xf numFmtId="2" fontId="27" fillId="0" borderId="13" xfId="17" applyNumberFormat="1" applyFont="1" applyFill="1" applyBorder="1" applyAlignment="1" applyProtection="1">
      <alignment vertical="center" shrinkToFit="1"/>
    </xf>
    <xf numFmtId="0" fontId="27" fillId="0" borderId="13" xfId="17" applyNumberFormat="1" applyFont="1" applyFill="1" applyBorder="1" applyAlignment="1" applyProtection="1">
      <alignment horizontal="center" vertical="center" shrinkToFit="1"/>
    </xf>
    <xf numFmtId="2" fontId="27" fillId="0" borderId="11" xfId="17" applyNumberFormat="1" applyFont="1" applyFill="1" applyBorder="1" applyAlignment="1" applyProtection="1">
      <alignment vertical="center" shrinkToFit="1"/>
    </xf>
    <xf numFmtId="0" fontId="9" fillId="0" borderId="28" xfId="17" applyFont="1" applyFill="1" applyBorder="1" applyAlignment="1" applyProtection="1">
      <alignment horizontal="center" vertical="center"/>
      <protection hidden="1"/>
    </xf>
    <xf numFmtId="0" fontId="0" fillId="0" borderId="18" xfId="0" applyFill="1" applyBorder="1"/>
    <xf numFmtId="164" fontId="0" fillId="0" borderId="18" xfId="0" applyNumberFormat="1" applyFill="1" applyBorder="1"/>
    <xf numFmtId="164" fontId="0" fillId="0" borderId="0" xfId="0" applyNumberFormat="1" applyFill="1" applyBorder="1"/>
    <xf numFmtId="169" fontId="0" fillId="0" borderId="0" xfId="3" applyNumberFormat="1" applyFont="1" applyFill="1" applyBorder="1"/>
    <xf numFmtId="0" fontId="0" fillId="0" borderId="18" xfId="0" applyFill="1" applyBorder="1" applyAlignment="1">
      <alignment horizontal="center"/>
    </xf>
    <xf numFmtId="164" fontId="0" fillId="0" borderId="19" xfId="0" applyNumberFormat="1" applyFill="1" applyBorder="1"/>
    <xf numFmtId="0" fontId="0" fillId="0" borderId="0" xfId="0" applyFill="1" applyBorder="1"/>
    <xf numFmtId="0" fontId="0" fillId="0" borderId="0" xfId="0" applyFill="1" applyBorder="1" applyAlignment="1">
      <alignment horizontal="center"/>
    </xf>
    <xf numFmtId="164" fontId="0" fillId="0" borderId="21" xfId="0" applyNumberFormat="1" applyFill="1" applyBorder="1"/>
    <xf numFmtId="0" fontId="0" fillId="0" borderId="24" xfId="0" applyFill="1" applyBorder="1"/>
    <xf numFmtId="164" fontId="0" fillId="0" borderId="24" xfId="0" applyNumberFormat="1" applyFill="1" applyBorder="1"/>
    <xf numFmtId="0" fontId="0" fillId="0" borderId="24" xfId="0" applyFill="1" applyBorder="1" applyAlignment="1">
      <alignment horizontal="center"/>
    </xf>
    <xf numFmtId="164" fontId="0" fillId="0" borderId="41" xfId="0" applyNumberFormat="1" applyFill="1" applyBorder="1"/>
    <xf numFmtId="0" fontId="19" fillId="0" borderId="0" xfId="0" applyFont="1" applyFill="1" applyBorder="1" applyAlignment="1" applyProtection="1">
      <alignment horizontal="center" vertical="center"/>
      <protection locked="0"/>
    </xf>
    <xf numFmtId="0" fontId="9" fillId="0" borderId="48" xfId="17" applyNumberFormat="1" applyFont="1" applyFill="1" applyBorder="1" applyAlignment="1" applyProtection="1">
      <alignment horizontal="center" vertical="center"/>
      <protection hidden="1"/>
    </xf>
    <xf numFmtId="49" fontId="5" fillId="0" borderId="48" xfId="17" applyNumberFormat="1" applyFont="1" applyFill="1" applyBorder="1" applyAlignment="1" applyProtection="1">
      <alignment horizontal="center" vertical="center"/>
      <protection hidden="1"/>
    </xf>
    <xf numFmtId="49" fontId="13" fillId="0" borderId="28" xfId="17" applyNumberFormat="1" applyFont="1" applyFill="1" applyBorder="1" applyAlignment="1" applyProtection="1">
      <alignment horizontal="left" vertical="center"/>
      <protection hidden="1"/>
    </xf>
    <xf numFmtId="0" fontId="0" fillId="0" borderId="31" xfId="0" applyBorder="1"/>
    <xf numFmtId="0" fontId="13" fillId="0" borderId="28" xfId="17" applyNumberFormat="1" applyFont="1" applyFill="1" applyBorder="1" applyAlignment="1" applyProtection="1">
      <alignment horizontal="left" vertical="center"/>
      <protection hidden="1"/>
    </xf>
    <xf numFmtId="0" fontId="9" fillId="0" borderId="42" xfId="17" applyFont="1" applyFill="1" applyBorder="1" applyAlignment="1" applyProtection="1">
      <alignment horizontal="center" vertical="center"/>
      <protection hidden="1"/>
    </xf>
    <xf numFmtId="0" fontId="9" fillId="0" borderId="46" xfId="17" applyFont="1" applyFill="1" applyBorder="1" applyAlignment="1" applyProtection="1">
      <alignment horizontal="center" vertical="center"/>
      <protection hidden="1"/>
    </xf>
    <xf numFmtId="0" fontId="9" fillId="0" borderId="47" xfId="17" applyFont="1" applyFill="1" applyBorder="1" applyAlignment="1" applyProtection="1">
      <alignment horizontal="center" vertical="center"/>
      <protection hidden="1"/>
    </xf>
    <xf numFmtId="0" fontId="0" fillId="0" borderId="30" xfId="0" applyBorder="1"/>
    <xf numFmtId="0" fontId="0" fillId="0" borderId="1" xfId="0" applyBorder="1"/>
    <xf numFmtId="0" fontId="0" fillId="0" borderId="10" xfId="0" applyBorder="1"/>
    <xf numFmtId="0" fontId="0" fillId="0" borderId="13" xfId="0" applyBorder="1"/>
    <xf numFmtId="0" fontId="0" fillId="0" borderId="11" xfId="0" applyBorder="1"/>
    <xf numFmtId="0" fontId="0" fillId="0" borderId="26" xfId="0" applyBorder="1"/>
    <xf numFmtId="0" fontId="0" fillId="0" borderId="27" xfId="0" applyBorder="1"/>
    <xf numFmtId="0" fontId="18" fillId="0" borderId="0" xfId="7" applyFont="1" applyFill="1" applyBorder="1" applyAlignment="1" applyProtection="1">
      <alignment horizontal="center" wrapText="1"/>
      <protection hidden="1"/>
    </xf>
    <xf numFmtId="0" fontId="18" fillId="0" borderId="0" xfId="7" applyFont="1" applyProtection="1">
      <protection hidden="1"/>
    </xf>
    <xf numFmtId="0" fontId="18" fillId="0" borderId="0" xfId="7" applyFont="1" applyFill="1" applyBorder="1" applyProtection="1">
      <protection hidden="1"/>
    </xf>
    <xf numFmtId="0" fontId="19" fillId="2" borderId="4" xfId="7" applyFont="1" applyFill="1" applyBorder="1" applyAlignment="1" applyProtection="1">
      <alignment horizontal="center" wrapText="1"/>
      <protection hidden="1"/>
    </xf>
    <xf numFmtId="0" fontId="19" fillId="2" borderId="12" xfId="7" applyFont="1" applyFill="1" applyBorder="1" applyAlignment="1" applyProtection="1">
      <alignment horizontal="center" wrapText="1"/>
      <protection hidden="1"/>
    </xf>
    <xf numFmtId="0" fontId="19" fillId="2" borderId="36" xfId="7" applyFont="1" applyFill="1" applyBorder="1" applyAlignment="1" applyProtection="1">
      <alignment horizontal="center" wrapText="1"/>
      <protection hidden="1"/>
    </xf>
    <xf numFmtId="165" fontId="18" fillId="0" borderId="1" xfId="7" applyNumberFormat="1" applyFont="1" applyFill="1" applyBorder="1" applyAlignment="1" applyProtection="1">
      <alignment horizontal="center" wrapText="1"/>
      <protection hidden="1"/>
    </xf>
    <xf numFmtId="0" fontId="18" fillId="0" borderId="49" xfId="7" applyFont="1" applyBorder="1" applyProtection="1">
      <protection hidden="1"/>
    </xf>
    <xf numFmtId="0" fontId="18" fillId="0" borderId="50" xfId="7" applyFont="1" applyBorder="1" applyProtection="1">
      <protection hidden="1"/>
    </xf>
    <xf numFmtId="0" fontId="47" fillId="0" borderId="0" xfId="7" applyFont="1" applyProtection="1">
      <protection hidden="1"/>
    </xf>
    <xf numFmtId="0" fontId="18" fillId="0" borderId="0" xfId="0" applyFont="1" applyAlignment="1">
      <alignment horizontal="center"/>
    </xf>
    <xf numFmtId="169" fontId="47" fillId="0" borderId="0" xfId="7" applyNumberFormat="1" applyFont="1" applyProtection="1">
      <protection hidden="1"/>
    </xf>
    <xf numFmtId="0" fontId="18" fillId="0" borderId="51" xfId="7" applyFont="1" applyBorder="1" applyProtection="1">
      <protection hidden="1"/>
    </xf>
    <xf numFmtId="0" fontId="18" fillId="0" borderId="0" xfId="7" applyFont="1" applyAlignment="1" applyProtection="1">
      <protection hidden="1"/>
    </xf>
    <xf numFmtId="0" fontId="18" fillId="0" borderId="1" xfId="9" applyFont="1" applyFill="1" applyBorder="1" applyAlignment="1" applyProtection="1">
      <alignment horizontal="center"/>
      <protection hidden="1"/>
    </xf>
    <xf numFmtId="0" fontId="19" fillId="2" borderId="12" xfId="0" applyFont="1" applyFill="1" applyBorder="1" applyAlignment="1" applyProtection="1">
      <alignment horizontal="center" wrapText="1"/>
      <protection hidden="1"/>
    </xf>
    <xf numFmtId="0" fontId="22" fillId="0" borderId="0" xfId="12" applyFont="1" applyAlignment="1" applyProtection="1">
      <alignment horizontal="right"/>
      <protection hidden="1"/>
    </xf>
    <xf numFmtId="0" fontId="18" fillId="0" borderId="0" xfId="12" applyFont="1" applyProtection="1">
      <protection hidden="1"/>
    </xf>
    <xf numFmtId="0" fontId="18" fillId="0" borderId="0" xfId="12" applyFont="1" applyFill="1" applyBorder="1" applyProtection="1">
      <protection hidden="1"/>
    </xf>
    <xf numFmtId="0" fontId="22" fillId="7" borderId="0" xfId="12" applyFont="1" applyFill="1" applyBorder="1" applyAlignment="1" applyProtection="1">
      <alignment horizontal="center"/>
      <protection hidden="1"/>
    </xf>
    <xf numFmtId="0" fontId="22" fillId="7" borderId="0" xfId="12" applyFont="1" applyFill="1" applyAlignment="1" applyProtection="1">
      <alignment horizontal="center"/>
      <protection hidden="1"/>
    </xf>
    <xf numFmtId="0" fontId="19" fillId="2" borderId="4" xfId="12" applyFont="1" applyFill="1" applyBorder="1" applyAlignment="1" applyProtection="1">
      <alignment horizontal="center" wrapText="1"/>
      <protection hidden="1"/>
    </xf>
    <xf numFmtId="0" fontId="19" fillId="0" borderId="12" xfId="12" applyFont="1" applyFill="1" applyBorder="1" applyAlignment="1" applyProtection="1">
      <alignment horizontal="center" wrapText="1"/>
      <protection hidden="1"/>
    </xf>
    <xf numFmtId="0" fontId="19" fillId="2" borderId="33" xfId="12" applyFont="1" applyFill="1" applyBorder="1" applyAlignment="1" applyProtection="1">
      <alignment horizontal="center" wrapText="1"/>
      <protection hidden="1"/>
    </xf>
    <xf numFmtId="0" fontId="19" fillId="2" borderId="34" xfId="12" applyFont="1" applyFill="1" applyBorder="1" applyAlignment="1" applyProtection="1">
      <alignment horizontal="center" wrapText="1"/>
      <protection hidden="1"/>
    </xf>
    <xf numFmtId="0" fontId="19" fillId="2" borderId="12" xfId="12" applyFont="1" applyFill="1" applyBorder="1" applyAlignment="1" applyProtection="1">
      <alignment horizontal="center" wrapText="1"/>
      <protection hidden="1"/>
    </xf>
    <xf numFmtId="0" fontId="19" fillId="2" borderId="35" xfId="12" applyFont="1" applyFill="1" applyBorder="1" applyAlignment="1" applyProtection="1">
      <alignment horizontal="center" wrapText="1"/>
      <protection hidden="1"/>
    </xf>
    <xf numFmtId="0" fontId="19" fillId="2" borderId="36" xfId="12" applyFont="1" applyFill="1" applyBorder="1" applyAlignment="1" applyProtection="1">
      <alignment horizontal="center" wrapText="1"/>
      <protection hidden="1"/>
    </xf>
    <xf numFmtId="165" fontId="18" fillId="0" borderId="1" xfId="12" applyNumberFormat="1" applyFont="1" applyFill="1" applyBorder="1" applyAlignment="1" applyProtection="1">
      <alignment horizontal="center" wrapText="1"/>
      <protection hidden="1"/>
    </xf>
    <xf numFmtId="169" fontId="18" fillId="0" borderId="52" xfId="12" applyNumberFormat="1" applyFont="1" applyBorder="1" applyAlignment="1" applyProtection="1">
      <alignment horizontal="left"/>
      <protection hidden="1"/>
    </xf>
    <xf numFmtId="0" fontId="47" fillId="2" borderId="12" xfId="12" applyFont="1" applyFill="1" applyBorder="1" applyAlignment="1" applyProtection="1">
      <alignment horizontal="center" wrapText="1"/>
      <protection hidden="1"/>
    </xf>
    <xf numFmtId="0" fontId="18" fillId="0" borderId="1" xfId="12" applyFont="1" applyFill="1" applyBorder="1" applyAlignment="1" applyProtection="1">
      <alignment horizontal="center"/>
      <protection hidden="1"/>
    </xf>
    <xf numFmtId="1" fontId="44" fillId="9" borderId="26" xfId="17" applyNumberFormat="1" applyFont="1" applyFill="1" applyBorder="1" applyAlignment="1" applyProtection="1">
      <alignment vertical="center"/>
    </xf>
    <xf numFmtId="1" fontId="44" fillId="9" borderId="26" xfId="17" applyNumberFormat="1" applyFont="1" applyFill="1" applyBorder="1" applyAlignment="1" applyProtection="1">
      <alignment horizontal="left"/>
    </xf>
    <xf numFmtId="49" fontId="5" fillId="6" borderId="53" xfId="17" applyNumberFormat="1" applyFont="1" applyFill="1" applyBorder="1" applyAlignment="1" applyProtection="1">
      <alignment horizontal="left" vertical="center" shrinkToFit="1"/>
      <protection locked="0"/>
    </xf>
    <xf numFmtId="49" fontId="5" fillId="4" borderId="49" xfId="17" applyNumberFormat="1" applyFont="1" applyFill="1" applyBorder="1" applyAlignment="1" applyProtection="1">
      <alignment horizontal="left" vertical="center" shrinkToFit="1"/>
      <protection locked="0"/>
    </xf>
    <xf numFmtId="49" fontId="5" fillId="3" borderId="49" xfId="17" applyNumberFormat="1" applyFont="1" applyFill="1" applyBorder="1" applyAlignment="1" applyProtection="1">
      <alignment horizontal="left" vertical="center" shrinkToFit="1"/>
      <protection locked="0"/>
    </xf>
    <xf numFmtId="49" fontId="5" fillId="6" borderId="50" xfId="17" applyNumberFormat="1" applyFont="1" applyFill="1" applyBorder="1" applyAlignment="1" applyProtection="1">
      <alignment horizontal="left" vertical="center" shrinkToFit="1"/>
      <protection locked="0"/>
    </xf>
    <xf numFmtId="49" fontId="5" fillId="0" borderId="54" xfId="17" applyNumberFormat="1" applyFont="1" applyFill="1" applyBorder="1" applyAlignment="1" applyProtection="1">
      <alignment horizontal="left" vertical="center" shrinkToFit="1"/>
      <protection locked="0"/>
    </xf>
    <xf numFmtId="0" fontId="5" fillId="6" borderId="48" xfId="17" applyNumberFormat="1" applyFont="1" applyFill="1" applyBorder="1" applyAlignment="1" applyProtection="1">
      <alignment vertical="center" shrinkToFit="1"/>
    </xf>
    <xf numFmtId="0" fontId="5" fillId="4" borderId="16" xfId="17" applyNumberFormat="1" applyFont="1" applyFill="1" applyBorder="1" applyAlignment="1" applyProtection="1">
      <alignment vertical="center" shrinkToFit="1"/>
    </xf>
    <xf numFmtId="0" fontId="5" fillId="3" borderId="16" xfId="17" applyNumberFormat="1" applyFont="1" applyFill="1" applyBorder="1" applyAlignment="1" applyProtection="1">
      <alignment vertical="center" shrinkToFit="1"/>
    </xf>
    <xf numFmtId="0" fontId="5" fillId="6" borderId="16" xfId="17" applyNumberFormat="1" applyFont="1" applyFill="1" applyBorder="1" applyAlignment="1" applyProtection="1">
      <alignment vertical="center" shrinkToFit="1"/>
    </xf>
    <xf numFmtId="0" fontId="5" fillId="0" borderId="17" xfId="17" applyNumberFormat="1" applyFont="1" applyFill="1" applyBorder="1" applyAlignment="1" applyProtection="1">
      <alignment vertical="center" shrinkToFit="1"/>
    </xf>
    <xf numFmtId="1" fontId="44" fillId="9" borderId="31" xfId="17" applyNumberFormat="1" applyFont="1" applyFill="1" applyBorder="1" applyAlignment="1" applyProtection="1">
      <alignment vertical="center"/>
    </xf>
    <xf numFmtId="2" fontId="39" fillId="9" borderId="25" xfId="17" applyNumberFormat="1" applyFont="1" applyFill="1" applyBorder="1" applyAlignment="1" applyProtection="1">
      <alignment vertical="center" wrapText="1"/>
    </xf>
    <xf numFmtId="0" fontId="39" fillId="9" borderId="55" xfId="0" applyFont="1" applyFill="1" applyBorder="1" applyAlignment="1" applyProtection="1">
      <alignment horizontal="center" vertical="center"/>
    </xf>
    <xf numFmtId="0" fontId="39" fillId="9" borderId="12" xfId="0" applyFont="1" applyFill="1" applyBorder="1" applyAlignment="1" applyProtection="1">
      <alignment horizontal="center" vertical="center"/>
    </xf>
    <xf numFmtId="0" fontId="39" fillId="9" borderId="56" xfId="0" applyFont="1" applyFill="1" applyBorder="1" applyAlignment="1" applyProtection="1">
      <alignment horizontal="center" vertical="center"/>
    </xf>
    <xf numFmtId="0" fontId="5" fillId="0" borderId="0" xfId="0" applyFont="1" applyFill="1" applyBorder="1" applyProtection="1"/>
    <xf numFmtId="0" fontId="13" fillId="0" borderId="53" xfId="17" applyNumberFormat="1" applyFont="1" applyFill="1" applyBorder="1" applyAlignment="1" applyProtection="1">
      <alignment horizontal="left" vertical="center"/>
      <protection hidden="1"/>
    </xf>
    <xf numFmtId="0" fontId="5" fillId="0" borderId="49" xfId="17" applyNumberFormat="1" applyFont="1" applyFill="1" applyBorder="1" applyAlignment="1" applyProtection="1">
      <alignment horizontal="left" vertical="center" wrapText="1"/>
    </xf>
    <xf numFmtId="0" fontId="5" fillId="0" borderId="54" xfId="17" applyNumberFormat="1" applyFont="1" applyFill="1" applyBorder="1" applyAlignment="1" applyProtection="1">
      <alignment horizontal="left" vertical="center" wrapText="1"/>
    </xf>
    <xf numFmtId="0" fontId="19" fillId="2" borderId="0" xfId="0" applyFont="1" applyFill="1" applyBorder="1" applyAlignment="1" applyProtection="1">
      <alignment vertical="center"/>
      <protection locked="0"/>
    </xf>
    <xf numFmtId="173" fontId="16" fillId="2" borderId="0" xfId="0" applyNumberFormat="1" applyFont="1" applyFill="1" applyBorder="1" applyProtection="1"/>
    <xf numFmtId="0" fontId="48" fillId="2" borderId="0" xfId="0" applyFont="1" applyFill="1" applyBorder="1" applyProtection="1"/>
    <xf numFmtId="2" fontId="19" fillId="2" borderId="6" xfId="17" applyNumberFormat="1" applyFont="1" applyFill="1" applyBorder="1" applyAlignment="1" applyProtection="1">
      <alignment vertical="center" wrapText="1"/>
      <protection hidden="1"/>
    </xf>
    <xf numFmtId="164" fontId="16" fillId="2" borderId="21" xfId="17" applyNumberFormat="1" applyFont="1" applyFill="1" applyBorder="1" applyAlignment="1" applyProtection="1">
      <alignment horizontal="right"/>
    </xf>
    <xf numFmtId="170" fontId="0" fillId="0" borderId="0" xfId="3" applyNumberFormat="1" applyFont="1"/>
    <xf numFmtId="1" fontId="0" fillId="0" borderId="0" xfId="0" applyNumberFormat="1"/>
    <xf numFmtId="169" fontId="0" fillId="0" borderId="25" xfId="0" applyNumberFormat="1" applyFill="1" applyBorder="1"/>
    <xf numFmtId="0" fontId="0" fillId="0" borderId="41" xfId="0" applyBorder="1"/>
    <xf numFmtId="166" fontId="18" fillId="0" borderId="1" xfId="1" applyFont="1" applyFill="1" applyBorder="1" applyAlignment="1" applyProtection="1">
      <alignment horizontal="left" wrapText="1"/>
      <protection hidden="1"/>
    </xf>
    <xf numFmtId="165" fontId="0" fillId="0" borderId="31" xfId="0" applyNumberFormat="1" applyBorder="1"/>
    <xf numFmtId="165" fontId="0" fillId="0" borderId="27" xfId="0" applyNumberFormat="1" applyBorder="1"/>
    <xf numFmtId="0" fontId="51" fillId="0" borderId="29" xfId="0" applyFont="1" applyBorder="1" applyAlignment="1"/>
    <xf numFmtId="0" fontId="27" fillId="0" borderId="49" xfId="17" applyNumberFormat="1" applyFont="1" applyFill="1" applyBorder="1" applyAlignment="1" applyProtection="1">
      <alignment vertical="center" wrapText="1"/>
    </xf>
    <xf numFmtId="0" fontId="27" fillId="0" borderId="54" xfId="17" applyNumberFormat="1" applyFont="1" applyFill="1" applyBorder="1" applyAlignment="1" applyProtection="1">
      <alignment vertical="center" wrapText="1"/>
    </xf>
    <xf numFmtId="0" fontId="51" fillId="0" borderId="31" xfId="0" applyFont="1" applyBorder="1" applyAlignment="1"/>
    <xf numFmtId="174" fontId="16" fillId="2" borderId="0" xfId="0" applyNumberFormat="1" applyFont="1" applyFill="1" applyBorder="1" applyProtection="1"/>
    <xf numFmtId="173" fontId="0" fillId="0" borderId="32" xfId="0" applyNumberFormat="1" applyFill="1" applyBorder="1"/>
    <xf numFmtId="173" fontId="0" fillId="0" borderId="20" xfId="0" applyNumberFormat="1" applyFill="1" applyBorder="1"/>
    <xf numFmtId="173" fontId="0" fillId="0" borderId="23" xfId="0" applyNumberFormat="1" applyFill="1" applyBorder="1"/>
    <xf numFmtId="173" fontId="0" fillId="0" borderId="0" xfId="0" applyNumberFormat="1"/>
    <xf numFmtId="0" fontId="5" fillId="0" borderId="0" xfId="0" applyFont="1" applyFill="1" applyBorder="1" applyProtection="1">
      <protection locked="0"/>
    </xf>
    <xf numFmtId="164" fontId="48" fillId="2" borderId="0" xfId="17" applyNumberFormat="1" applyFont="1" applyFill="1" applyBorder="1" applyAlignment="1" applyProtection="1">
      <alignment horizontal="right"/>
    </xf>
    <xf numFmtId="169" fontId="47" fillId="0" borderId="0" xfId="7" applyNumberFormat="1" applyFont="1" applyBorder="1" applyProtection="1">
      <protection hidden="1"/>
    </xf>
    <xf numFmtId="0" fontId="41" fillId="9" borderId="0" xfId="17" applyFont="1" applyFill="1" applyBorder="1" applyAlignment="1" applyProtection="1">
      <alignment horizontal="right"/>
    </xf>
    <xf numFmtId="14" fontId="0" fillId="0" borderId="0" xfId="0" applyNumberFormat="1"/>
    <xf numFmtId="9" fontId="0" fillId="0" borderId="0" xfId="0" applyNumberFormat="1"/>
    <xf numFmtId="0" fontId="5" fillId="0" borderId="0" xfId="17" applyFont="1" applyFill="1" applyBorder="1"/>
    <xf numFmtId="0" fontId="5" fillId="0" borderId="20" xfId="17" applyNumberFormat="1" applyFont="1" applyFill="1" applyBorder="1" applyAlignment="1" applyProtection="1">
      <alignment horizontal="center" vertical="center"/>
      <protection hidden="1"/>
    </xf>
    <xf numFmtId="0" fontId="5" fillId="0" borderId="23" xfId="17" applyNumberFormat="1" applyFont="1" applyFill="1" applyBorder="1" applyAlignment="1" applyProtection="1">
      <alignment horizontal="center" vertical="center"/>
      <protection hidden="1"/>
    </xf>
    <xf numFmtId="2" fontId="5" fillId="0" borderId="32" xfId="17" applyNumberFormat="1" applyFont="1" applyFill="1" applyBorder="1" applyAlignment="1" applyProtection="1">
      <alignment horizontal="center" vertical="center"/>
      <protection hidden="1"/>
    </xf>
    <xf numFmtId="2" fontId="5" fillId="0" borderId="20" xfId="17" applyNumberFormat="1" applyFont="1" applyFill="1" applyBorder="1" applyAlignment="1" applyProtection="1">
      <alignment horizontal="center" vertical="center"/>
      <protection hidden="1"/>
    </xf>
    <xf numFmtId="2" fontId="5" fillId="0" borderId="23" xfId="17" applyNumberFormat="1" applyFont="1" applyFill="1" applyBorder="1" applyAlignment="1" applyProtection="1">
      <alignment horizontal="center" vertical="center"/>
      <protection hidden="1"/>
    </xf>
    <xf numFmtId="0" fontId="18" fillId="0" borderId="0" xfId="7" applyFont="1" applyFill="1" applyBorder="1" applyAlignment="1" applyProtection="1">
      <alignment horizontal="center"/>
      <protection hidden="1"/>
    </xf>
    <xf numFmtId="0" fontId="19" fillId="2" borderId="55" xfId="12" applyFont="1" applyFill="1" applyBorder="1" applyAlignment="1" applyProtection="1">
      <alignment horizontal="center" wrapText="1"/>
      <protection hidden="1"/>
    </xf>
    <xf numFmtId="0" fontId="18" fillId="0" borderId="0" xfId="12" applyFont="1" applyFill="1" applyBorder="1" applyAlignment="1" applyProtection="1">
      <alignment horizontal="center" wrapText="1"/>
      <protection hidden="1"/>
    </xf>
    <xf numFmtId="164" fontId="18" fillId="0" borderId="0" xfId="0" applyNumberFormat="1" applyFont="1" applyAlignment="1">
      <alignment horizontal="center"/>
    </xf>
    <xf numFmtId="165" fontId="18" fillId="0" borderId="1" xfId="0" applyNumberFormat="1" applyFont="1" applyBorder="1" applyAlignment="1" applyProtection="1">
      <alignment horizontal="center" wrapText="1"/>
      <protection hidden="1"/>
    </xf>
    <xf numFmtId="165" fontId="18" fillId="0" borderId="15" xfId="0" applyNumberFormat="1" applyFont="1" applyBorder="1" applyAlignment="1" applyProtection="1">
      <alignment horizontal="center" wrapText="1"/>
      <protection hidden="1"/>
    </xf>
    <xf numFmtId="0" fontId="16" fillId="2" borderId="55" xfId="14" applyFont="1" applyFill="1" applyBorder="1" applyAlignment="1" applyProtection="1">
      <alignment horizontal="center" wrapText="1"/>
      <protection hidden="1"/>
    </xf>
    <xf numFmtId="0" fontId="18" fillId="0" borderId="0" xfId="14" applyFont="1" applyFill="1" applyBorder="1" applyAlignment="1" applyProtection="1">
      <alignment horizontal="center" wrapText="1"/>
      <protection hidden="1"/>
    </xf>
    <xf numFmtId="0" fontId="5" fillId="0" borderId="0" xfId="14" applyFont="1" applyFill="1" applyBorder="1" applyAlignment="1" applyProtection="1">
      <alignment horizontal="center" wrapText="1"/>
      <protection hidden="1"/>
    </xf>
    <xf numFmtId="164" fontId="18" fillId="0" borderId="49" xfId="14" applyNumberFormat="1" applyFont="1" applyFill="1" applyBorder="1" applyAlignment="1" applyProtection="1">
      <alignment horizontal="center" wrapText="1"/>
      <protection hidden="1"/>
    </xf>
    <xf numFmtId="164" fontId="18" fillId="0" borderId="0" xfId="14" applyNumberFormat="1" applyFont="1" applyFill="1" applyBorder="1" applyAlignment="1" applyProtection="1">
      <alignment horizontal="center" wrapText="1"/>
      <protection hidden="1"/>
    </xf>
    <xf numFmtId="0" fontId="18" fillId="0" borderId="1" xfId="14" applyFont="1" applyFill="1" applyBorder="1" applyAlignment="1" applyProtection="1">
      <alignment horizontal="center"/>
      <protection hidden="1"/>
    </xf>
    <xf numFmtId="165" fontId="18" fillId="0" borderId="0" xfId="3" applyNumberFormat="1" applyFont="1" applyBorder="1" applyAlignment="1" applyProtection="1">
      <alignment horizontal="left"/>
      <protection hidden="1"/>
    </xf>
    <xf numFmtId="0" fontId="18" fillId="0" borderId="0" xfId="7" applyFont="1" applyBorder="1" applyProtection="1">
      <protection hidden="1"/>
    </xf>
    <xf numFmtId="169" fontId="18" fillId="0" borderId="38" xfId="7" applyNumberFormat="1" applyFont="1" applyBorder="1" applyProtection="1">
      <protection hidden="1"/>
    </xf>
    <xf numFmtId="169" fontId="18" fillId="0" borderId="0" xfId="7" applyNumberFormat="1" applyFont="1" applyBorder="1" applyProtection="1">
      <protection hidden="1"/>
    </xf>
    <xf numFmtId="165" fontId="18" fillId="0" borderId="49" xfId="0" applyNumberFormat="1" applyFont="1" applyBorder="1" applyAlignment="1" applyProtection="1">
      <alignment horizontal="center" wrapText="1"/>
      <protection hidden="1"/>
    </xf>
    <xf numFmtId="165" fontId="47" fillId="2" borderId="12" xfId="12" applyNumberFormat="1" applyFont="1" applyFill="1" applyBorder="1" applyAlignment="1" applyProtection="1">
      <alignment horizontal="center" wrapText="1"/>
      <protection hidden="1"/>
    </xf>
    <xf numFmtId="0" fontId="48" fillId="2" borderId="12" xfId="14" applyFont="1" applyFill="1" applyBorder="1" applyAlignment="1" applyProtection="1">
      <alignment horizontal="center" wrapText="1"/>
      <protection hidden="1"/>
    </xf>
    <xf numFmtId="165" fontId="48" fillId="2" borderId="12" xfId="14" applyNumberFormat="1" applyFont="1" applyFill="1" applyBorder="1" applyAlignment="1" applyProtection="1">
      <alignment horizontal="center" wrapText="1"/>
      <protection hidden="1"/>
    </xf>
    <xf numFmtId="0" fontId="5" fillId="6" borderId="30" xfId="0" applyFont="1" applyFill="1" applyBorder="1" applyAlignment="1" applyProtection="1">
      <alignment horizontal="center" vertical="center"/>
      <protection locked="0"/>
    </xf>
    <xf numFmtId="0" fontId="5" fillId="0" borderId="10" xfId="0" applyFont="1" applyFill="1" applyBorder="1" applyAlignment="1" applyProtection="1">
      <alignment horizontal="center" vertical="center"/>
      <protection locked="0"/>
    </xf>
    <xf numFmtId="0" fontId="5" fillId="6" borderId="45" xfId="0" applyFont="1" applyFill="1" applyBorder="1" applyAlignment="1" applyProtection="1">
      <alignment horizontal="center" vertical="center"/>
      <protection locked="0"/>
    </xf>
    <xf numFmtId="0" fontId="5" fillId="0" borderId="11" xfId="0" applyFont="1" applyFill="1" applyBorder="1" applyAlignment="1" applyProtection="1">
      <alignment horizontal="center" vertical="center"/>
      <protection locked="0"/>
    </xf>
    <xf numFmtId="0" fontId="39" fillId="9" borderId="9" xfId="0" applyFont="1" applyFill="1" applyBorder="1" applyAlignment="1" applyProtection="1">
      <alignment vertical="center"/>
    </xf>
    <xf numFmtId="0" fontId="5" fillId="3" borderId="10" xfId="0" applyFont="1" applyFill="1" applyBorder="1" applyAlignment="1" applyProtection="1">
      <alignment horizontal="center" vertical="center" shrinkToFit="1"/>
      <protection locked="0"/>
    </xf>
    <xf numFmtId="0" fontId="13" fillId="0" borderId="0" xfId="17" applyFont="1" applyFill="1" applyAlignment="1" applyProtection="1">
      <alignment horizontal="right"/>
      <protection hidden="1"/>
    </xf>
    <xf numFmtId="0" fontId="18" fillId="0" borderId="0" xfId="17" applyFont="1" applyFill="1"/>
    <xf numFmtId="1" fontId="5" fillId="6" borderId="29" xfId="17" applyNumberFormat="1" applyFont="1" applyFill="1" applyBorder="1" applyAlignment="1" applyProtection="1">
      <alignment horizontal="center" vertical="center" shrinkToFit="1"/>
      <protection locked="0"/>
    </xf>
    <xf numFmtId="1" fontId="5" fillId="6" borderId="30" xfId="17" applyNumberFormat="1" applyFont="1" applyFill="1" applyBorder="1" applyAlignment="1" applyProtection="1">
      <alignment horizontal="center" vertical="center" shrinkToFit="1"/>
      <protection locked="0"/>
    </xf>
    <xf numFmtId="1" fontId="5" fillId="4" borderId="1" xfId="17" applyNumberFormat="1" applyFont="1" applyFill="1" applyBorder="1" applyAlignment="1" applyProtection="1">
      <alignment horizontal="center" vertical="center" shrinkToFit="1"/>
      <protection locked="0"/>
    </xf>
    <xf numFmtId="1" fontId="5" fillId="4" borderId="10" xfId="17" applyNumberFormat="1" applyFont="1" applyFill="1" applyBorder="1" applyAlignment="1" applyProtection="1">
      <alignment horizontal="center" vertical="center" shrinkToFit="1"/>
      <protection locked="0"/>
    </xf>
    <xf numFmtId="1" fontId="5" fillId="3" borderId="1" xfId="17" applyNumberFormat="1" applyFont="1" applyFill="1" applyBorder="1" applyAlignment="1" applyProtection="1">
      <alignment horizontal="center" vertical="center" shrinkToFit="1"/>
      <protection locked="0"/>
    </xf>
    <xf numFmtId="1" fontId="5" fillId="3" borderId="10" xfId="17" applyNumberFormat="1" applyFont="1" applyFill="1" applyBorder="1" applyAlignment="1" applyProtection="1">
      <alignment horizontal="center" vertical="center" shrinkToFit="1"/>
      <protection locked="0"/>
    </xf>
    <xf numFmtId="1" fontId="5" fillId="6" borderId="15" xfId="17" applyNumberFormat="1" applyFont="1" applyFill="1" applyBorder="1" applyAlignment="1" applyProtection="1">
      <alignment horizontal="center" vertical="center" shrinkToFit="1"/>
      <protection locked="0"/>
    </xf>
    <xf numFmtId="1" fontId="5" fillId="6" borderId="45" xfId="17" applyNumberFormat="1" applyFont="1" applyFill="1" applyBorder="1" applyAlignment="1" applyProtection="1">
      <alignment horizontal="center" vertical="center" shrinkToFit="1"/>
      <protection locked="0"/>
    </xf>
    <xf numFmtId="1" fontId="5" fillId="0" borderId="13" xfId="17" applyNumberFormat="1" applyFont="1" applyFill="1" applyBorder="1" applyAlignment="1" applyProtection="1">
      <alignment horizontal="center" vertical="center" shrinkToFit="1"/>
      <protection locked="0"/>
    </xf>
    <xf numFmtId="1" fontId="5" fillId="0" borderId="11" xfId="17" applyNumberFormat="1" applyFont="1" applyFill="1" applyBorder="1" applyAlignment="1" applyProtection="1">
      <alignment horizontal="center" vertical="center" shrinkToFit="1"/>
      <protection locked="0"/>
    </xf>
    <xf numFmtId="0" fontId="32" fillId="9" borderId="24" xfId="0" applyFont="1" applyFill="1" applyBorder="1" applyProtection="1"/>
    <xf numFmtId="164" fontId="18" fillId="0" borderId="0" xfId="12" applyNumberFormat="1" applyFont="1" applyFill="1" applyBorder="1" applyAlignment="1" applyProtection="1">
      <alignment horizontal="center" wrapText="1"/>
      <protection hidden="1"/>
    </xf>
    <xf numFmtId="0" fontId="5" fillId="6" borderId="57" xfId="17" applyFont="1" applyFill="1" applyBorder="1" applyAlignment="1" applyProtection="1">
      <alignment horizontal="center" vertical="center" shrinkToFit="1"/>
      <protection locked="0"/>
    </xf>
    <xf numFmtId="0" fontId="5" fillId="4" borderId="58" xfId="17" applyFont="1" applyFill="1" applyBorder="1" applyAlignment="1" applyProtection="1">
      <alignment horizontal="center" vertical="center" shrinkToFit="1"/>
      <protection locked="0"/>
    </xf>
    <xf numFmtId="0" fontId="5" fillId="3" borderId="58" xfId="17" applyFont="1" applyFill="1" applyBorder="1" applyAlignment="1" applyProtection="1">
      <alignment horizontal="center" vertical="center" shrinkToFit="1"/>
      <protection locked="0"/>
    </xf>
    <xf numFmtId="0" fontId="5" fillId="6" borderId="59" xfId="17" applyFont="1" applyFill="1" applyBorder="1" applyAlignment="1" applyProtection="1">
      <alignment horizontal="center" vertical="center" shrinkToFit="1"/>
      <protection locked="0"/>
    </xf>
    <xf numFmtId="0" fontId="5" fillId="0" borderId="59" xfId="17" applyFont="1" applyFill="1" applyBorder="1" applyAlignment="1" applyProtection="1">
      <alignment horizontal="center" vertical="center" shrinkToFit="1"/>
      <protection locked="0"/>
    </xf>
    <xf numFmtId="0" fontId="47" fillId="0" borderId="0" xfId="0" applyFont="1"/>
    <xf numFmtId="0" fontId="22" fillId="10" borderId="0" xfId="12" applyFont="1" applyFill="1" applyBorder="1" applyAlignment="1" applyProtection="1">
      <alignment horizontal="center"/>
      <protection hidden="1"/>
    </xf>
    <xf numFmtId="0" fontId="18" fillId="10" borderId="0" xfId="12" applyFont="1" applyFill="1" applyProtection="1">
      <protection hidden="1"/>
    </xf>
    <xf numFmtId="0" fontId="22" fillId="10" borderId="0" xfId="12" applyFont="1" applyFill="1" applyAlignment="1" applyProtection="1">
      <alignment horizontal="center"/>
      <protection hidden="1"/>
    </xf>
    <xf numFmtId="0" fontId="19" fillId="11" borderId="4" xfId="12" applyFont="1" applyFill="1" applyBorder="1" applyAlignment="1" applyProtection="1">
      <alignment horizontal="center" wrapText="1"/>
      <protection hidden="1"/>
    </xf>
    <xf numFmtId="0" fontId="19" fillId="11" borderId="12" xfId="11" applyFont="1" applyFill="1" applyBorder="1" applyAlignment="1" applyProtection="1">
      <alignment horizontal="center" wrapText="1"/>
      <protection hidden="1"/>
    </xf>
    <xf numFmtId="0" fontId="19" fillId="11" borderId="4" xfId="11" applyFont="1" applyFill="1" applyBorder="1" applyAlignment="1" applyProtection="1">
      <alignment horizontal="center" wrapText="1"/>
      <protection hidden="1"/>
    </xf>
    <xf numFmtId="0" fontId="19" fillId="11" borderId="33" xfId="12" applyFont="1" applyFill="1" applyBorder="1" applyAlignment="1" applyProtection="1">
      <alignment horizontal="center" wrapText="1"/>
      <protection hidden="1"/>
    </xf>
    <xf numFmtId="0" fontId="19" fillId="11" borderId="34" xfId="12" applyFont="1" applyFill="1" applyBorder="1" applyAlignment="1" applyProtection="1">
      <alignment horizontal="center" wrapText="1"/>
      <protection hidden="1"/>
    </xf>
    <xf numFmtId="0" fontId="19" fillId="11" borderId="12" xfId="12" applyFont="1" applyFill="1" applyBorder="1" applyAlignment="1" applyProtection="1">
      <alignment horizontal="center" wrapText="1"/>
      <protection hidden="1"/>
    </xf>
    <xf numFmtId="0" fontId="47" fillId="11" borderId="12" xfId="12" applyFont="1" applyFill="1" applyBorder="1" applyAlignment="1" applyProtection="1">
      <alignment horizontal="center" wrapText="1"/>
      <protection hidden="1"/>
    </xf>
    <xf numFmtId="165" fontId="47" fillId="11" borderId="12" xfId="12" applyNumberFormat="1" applyFont="1" applyFill="1" applyBorder="1" applyAlignment="1" applyProtection="1">
      <alignment horizontal="center" wrapText="1"/>
      <protection hidden="1"/>
    </xf>
    <xf numFmtId="0" fontId="19" fillId="11" borderId="12" xfId="0" applyFont="1" applyFill="1" applyBorder="1" applyAlignment="1" applyProtection="1">
      <alignment horizontal="center" wrapText="1"/>
      <protection hidden="1"/>
    </xf>
    <xf numFmtId="0" fontId="19" fillId="11" borderId="55" xfId="12" applyFont="1" applyFill="1" applyBorder="1" applyAlignment="1" applyProtection="1">
      <alignment horizontal="center" wrapText="1"/>
      <protection hidden="1"/>
    </xf>
    <xf numFmtId="0" fontId="19" fillId="11" borderId="35" xfId="12" applyFont="1" applyFill="1" applyBorder="1" applyAlignment="1" applyProtection="1">
      <alignment horizontal="center" wrapText="1"/>
      <protection hidden="1"/>
    </xf>
    <xf numFmtId="0" fontId="19" fillId="11" borderId="36" xfId="12" applyFont="1" applyFill="1" applyBorder="1" applyAlignment="1" applyProtection="1">
      <alignment horizontal="center" wrapText="1"/>
      <protection hidden="1"/>
    </xf>
    <xf numFmtId="0" fontId="18" fillId="0" borderId="1" xfId="11" applyFont="1" applyFill="1" applyBorder="1" applyAlignment="1" applyProtection="1">
      <alignment horizontal="center" wrapText="1"/>
      <protection hidden="1"/>
    </xf>
    <xf numFmtId="165" fontId="18" fillId="0" borderId="1" xfId="11" applyNumberFormat="1" applyFont="1" applyFill="1" applyBorder="1" applyAlignment="1" applyProtection="1">
      <alignment horizontal="center" wrapText="1"/>
      <protection hidden="1"/>
    </xf>
    <xf numFmtId="0" fontId="18" fillId="0" borderId="49" xfId="11" applyFont="1" applyBorder="1" applyProtection="1">
      <protection hidden="1"/>
    </xf>
    <xf numFmtId="0" fontId="18" fillId="0" borderId="0" xfId="11" applyFont="1" applyAlignment="1" applyProtection="1">
      <alignment horizontal="center"/>
      <protection hidden="1"/>
    </xf>
    <xf numFmtId="0" fontId="18" fillId="0" borderId="1" xfId="11" applyFont="1" applyFill="1" applyBorder="1" applyAlignment="1" applyProtection="1">
      <alignment horizontal="center"/>
      <protection hidden="1"/>
    </xf>
    <xf numFmtId="0" fontId="18" fillId="0" borderId="0" xfId="11" applyFont="1" applyFill="1" applyBorder="1" applyAlignment="1" applyProtection="1">
      <alignment horizontal="center" wrapText="1"/>
      <protection hidden="1"/>
    </xf>
    <xf numFmtId="0" fontId="18" fillId="0" borderId="0" xfId="11" applyFont="1" applyProtection="1">
      <protection hidden="1"/>
    </xf>
    <xf numFmtId="165" fontId="0" fillId="0" borderId="0" xfId="3" applyNumberFormat="1" applyFont="1" applyFill="1" applyBorder="1"/>
    <xf numFmtId="165" fontId="0" fillId="0" borderId="24" xfId="3" applyNumberFormat="1" applyFont="1" applyFill="1" applyBorder="1"/>
    <xf numFmtId="10" fontId="0" fillId="0" borderId="0" xfId="0" applyNumberFormat="1"/>
    <xf numFmtId="0" fontId="5" fillId="3" borderId="58" xfId="17" applyNumberFormat="1" applyFont="1" applyFill="1" applyBorder="1" applyAlignment="1" applyProtection="1">
      <alignment horizontal="center" vertical="center" shrinkToFit="1"/>
      <protection locked="0"/>
    </xf>
    <xf numFmtId="0" fontId="5" fillId="6" borderId="0" xfId="0" applyNumberFormat="1" applyFont="1" applyFill="1" applyAlignment="1" applyProtection="1">
      <alignment horizontal="center" vertical="center" shrinkToFit="1"/>
      <protection locked="0"/>
    </xf>
    <xf numFmtId="0" fontId="5" fillId="6" borderId="4" xfId="0" applyNumberFormat="1" applyFont="1" applyFill="1" applyBorder="1" applyAlignment="1" applyProtection="1">
      <alignment horizontal="center" vertical="center" shrinkToFit="1"/>
      <protection locked="0"/>
    </xf>
    <xf numFmtId="0" fontId="5" fillId="4" borderId="58" xfId="0" applyNumberFormat="1" applyFont="1" applyFill="1" applyBorder="1" applyAlignment="1" applyProtection="1">
      <alignment horizontal="center" vertical="center" shrinkToFit="1"/>
      <protection locked="0"/>
    </xf>
    <xf numFmtId="0" fontId="5" fillId="4" borderId="1" xfId="0" applyNumberFormat="1" applyFont="1" applyFill="1" applyBorder="1" applyAlignment="1" applyProtection="1">
      <alignment horizontal="center" vertical="center" shrinkToFit="1"/>
      <protection locked="0"/>
    </xf>
    <xf numFmtId="0" fontId="5" fillId="3" borderId="1" xfId="17" applyNumberFormat="1" applyFont="1" applyFill="1" applyBorder="1" applyAlignment="1" applyProtection="1">
      <alignment horizontal="center" vertical="center" shrinkToFit="1"/>
      <protection locked="0"/>
    </xf>
    <xf numFmtId="0" fontId="5" fillId="6" borderId="12" xfId="0" applyNumberFormat="1" applyFont="1" applyFill="1" applyBorder="1" applyAlignment="1" applyProtection="1">
      <alignment horizontal="center" vertical="center" shrinkToFit="1"/>
      <protection locked="0"/>
    </xf>
    <xf numFmtId="0" fontId="5" fillId="4" borderId="60" xfId="0" applyNumberFormat="1" applyFont="1" applyFill="1" applyBorder="1" applyAlignment="1" applyProtection="1">
      <alignment horizontal="center" vertical="center" shrinkToFit="1"/>
      <protection locked="0"/>
    </xf>
    <xf numFmtId="0" fontId="5" fillId="4" borderId="13" xfId="0" applyNumberFormat="1" applyFont="1" applyFill="1" applyBorder="1" applyAlignment="1" applyProtection="1">
      <alignment horizontal="center" vertical="center" shrinkToFit="1"/>
      <protection locked="0"/>
    </xf>
    <xf numFmtId="0" fontId="19" fillId="2" borderId="4" xfId="0" applyFont="1" applyFill="1" applyBorder="1" applyAlignment="1" applyProtection="1">
      <alignment horizontal="center" wrapText="1"/>
      <protection hidden="1"/>
    </xf>
    <xf numFmtId="9" fontId="18" fillId="0" borderId="0" xfId="0" applyNumberFormat="1" applyFont="1"/>
    <xf numFmtId="17" fontId="6" fillId="0" borderId="0" xfId="17" applyNumberFormat="1" applyFont="1"/>
    <xf numFmtId="0" fontId="0" fillId="0" borderId="15" xfId="0" applyBorder="1"/>
    <xf numFmtId="2" fontId="19" fillId="2" borderId="25" xfId="17" applyNumberFormat="1" applyFont="1" applyFill="1" applyBorder="1" applyAlignment="1" applyProtection="1">
      <alignment vertical="center" wrapText="1"/>
      <protection hidden="1"/>
    </xf>
    <xf numFmtId="1" fontId="39" fillId="9" borderId="8" xfId="17" applyNumberFormat="1" applyFont="1" applyFill="1" applyBorder="1" applyAlignment="1" applyProtection="1">
      <alignment horizontal="center" vertical="center" wrapText="1"/>
    </xf>
    <xf numFmtId="165" fontId="0" fillId="0" borderId="61" xfId="0" applyNumberFormat="1" applyBorder="1"/>
    <xf numFmtId="1" fontId="5" fillId="6" borderId="58" xfId="0" applyNumberFormat="1" applyFont="1" applyFill="1" applyBorder="1" applyAlignment="1" applyProtection="1">
      <alignment horizontal="center" vertical="center" shrinkToFit="1"/>
      <protection hidden="1"/>
    </xf>
    <xf numFmtId="1" fontId="5" fillId="4" borderId="58" xfId="0" applyNumberFormat="1" applyFont="1" applyFill="1" applyBorder="1" applyAlignment="1" applyProtection="1">
      <alignment horizontal="center" vertical="center" shrinkToFit="1"/>
      <protection hidden="1"/>
    </xf>
    <xf numFmtId="1" fontId="5" fillId="3" borderId="58" xfId="0" applyNumberFormat="1" applyFont="1" applyFill="1" applyBorder="1" applyAlignment="1" applyProtection="1">
      <alignment horizontal="center" vertical="center" shrinkToFit="1"/>
      <protection hidden="1"/>
    </xf>
    <xf numFmtId="1" fontId="5" fillId="4" borderId="60" xfId="0" applyNumberFormat="1" applyFont="1" applyFill="1" applyBorder="1" applyAlignment="1" applyProtection="1">
      <alignment horizontal="center" vertical="center" shrinkToFit="1"/>
      <protection hidden="1"/>
    </xf>
    <xf numFmtId="1" fontId="27" fillId="6" borderId="30" xfId="17" applyNumberFormat="1" applyFont="1" applyFill="1" applyBorder="1" applyAlignment="1" applyProtection="1">
      <alignment horizontal="center" vertical="center" shrinkToFit="1"/>
      <protection locked="0"/>
    </xf>
    <xf numFmtId="1" fontId="27" fillId="4" borderId="10" xfId="17" applyNumberFormat="1" applyFont="1" applyFill="1" applyBorder="1" applyAlignment="1" applyProtection="1">
      <alignment horizontal="center" vertical="center" shrinkToFit="1"/>
      <protection locked="0"/>
    </xf>
    <xf numFmtId="1" fontId="27" fillId="3" borderId="10" xfId="17" applyNumberFormat="1" applyFont="1" applyFill="1" applyBorder="1" applyAlignment="1" applyProtection="1">
      <alignment horizontal="center" vertical="center" shrinkToFit="1"/>
      <protection locked="0"/>
    </xf>
    <xf numFmtId="1" fontId="27" fillId="6" borderId="45" xfId="17" applyNumberFormat="1" applyFont="1" applyFill="1" applyBorder="1" applyAlignment="1" applyProtection="1">
      <alignment horizontal="center" vertical="center" shrinkToFit="1"/>
      <protection locked="0"/>
    </xf>
    <xf numFmtId="1" fontId="27" fillId="4" borderId="11" xfId="17" applyNumberFormat="1" applyFont="1" applyFill="1" applyBorder="1" applyAlignment="1" applyProtection="1">
      <alignment horizontal="center" vertical="center" shrinkToFit="1"/>
      <protection locked="0"/>
    </xf>
    <xf numFmtId="0" fontId="51" fillId="0" borderId="29" xfId="0" applyFont="1" applyBorder="1" applyAlignment="1">
      <alignment horizontal="left"/>
    </xf>
    <xf numFmtId="176" fontId="18" fillId="0" borderId="1" xfId="1" applyNumberFormat="1" applyFont="1" applyFill="1" applyBorder="1" applyAlignment="1" applyProtection="1">
      <alignment horizontal="center" wrapText="1"/>
      <protection hidden="1"/>
    </xf>
    <xf numFmtId="14" fontId="18" fillId="0" borderId="0" xfId="0" applyNumberFormat="1" applyFont="1"/>
    <xf numFmtId="0" fontId="58" fillId="0" borderId="0" xfId="0" applyFont="1" applyFill="1"/>
    <xf numFmtId="2" fontId="35" fillId="0" borderId="5" xfId="17" applyNumberFormat="1" applyFont="1" applyFill="1" applyBorder="1" applyAlignment="1" applyProtection="1">
      <alignment horizontal="center" vertical="center" wrapText="1"/>
      <protection hidden="1"/>
    </xf>
    <xf numFmtId="2" fontId="35" fillId="0" borderId="6" xfId="17" applyNumberFormat="1" applyFont="1" applyFill="1" applyBorder="1" applyAlignment="1" applyProtection="1">
      <alignment horizontal="center" vertical="center" wrapText="1"/>
      <protection hidden="1"/>
    </xf>
    <xf numFmtId="0" fontId="59" fillId="0" borderId="42" xfId="17" applyFont="1" applyFill="1" applyBorder="1" applyAlignment="1" applyProtection="1">
      <alignment horizontal="center" vertical="center"/>
      <protection hidden="1"/>
    </xf>
    <xf numFmtId="49" fontId="60" fillId="0" borderId="28" xfId="17" applyNumberFormat="1" applyFont="1" applyFill="1" applyBorder="1" applyAlignment="1" applyProtection="1">
      <alignment horizontal="left" vertical="center"/>
      <protection hidden="1"/>
    </xf>
    <xf numFmtId="0" fontId="60" fillId="0" borderId="53" xfId="17" applyNumberFormat="1" applyFont="1" applyFill="1" applyBorder="1" applyAlignment="1" applyProtection="1">
      <alignment horizontal="left" vertical="center"/>
      <protection hidden="1"/>
    </xf>
    <xf numFmtId="164" fontId="58" fillId="0" borderId="30" xfId="0" applyNumberFormat="1" applyFont="1" applyFill="1" applyBorder="1"/>
    <xf numFmtId="0" fontId="59" fillId="0" borderId="46" xfId="17" applyFont="1" applyFill="1" applyBorder="1" applyAlignment="1" applyProtection="1">
      <alignment horizontal="center" vertical="center"/>
      <protection hidden="1"/>
    </xf>
    <xf numFmtId="0" fontId="61" fillId="0" borderId="2" xfId="17" applyNumberFormat="1" applyFont="1" applyFill="1" applyBorder="1" applyAlignment="1" applyProtection="1">
      <alignment horizontal="left" vertical="center" wrapText="1"/>
    </xf>
    <xf numFmtId="0" fontId="61" fillId="0" borderId="49" xfId="17" applyNumberFormat="1" applyFont="1" applyFill="1" applyBorder="1" applyAlignment="1" applyProtection="1">
      <alignment horizontal="left" vertical="center" wrapText="1"/>
    </xf>
    <xf numFmtId="0" fontId="61" fillId="0" borderId="10" xfId="17" applyNumberFormat="1" applyFont="1" applyFill="1" applyBorder="1" applyAlignment="1" applyProtection="1">
      <alignment horizontal="left" vertical="center" wrapText="1"/>
    </xf>
    <xf numFmtId="0" fontId="59" fillId="0" borderId="47" xfId="17" applyFont="1" applyFill="1" applyBorder="1" applyAlignment="1" applyProtection="1">
      <alignment horizontal="center" vertical="center"/>
      <protection hidden="1"/>
    </xf>
    <xf numFmtId="0" fontId="61" fillId="0" borderId="3" xfId="17" applyNumberFormat="1" applyFont="1" applyFill="1" applyBorder="1" applyAlignment="1" applyProtection="1">
      <alignment horizontal="left" vertical="center" wrapText="1"/>
    </xf>
    <xf numFmtId="0" fontId="61" fillId="0" borderId="54" xfId="17" applyNumberFormat="1" applyFont="1" applyFill="1" applyBorder="1" applyAlignment="1" applyProtection="1">
      <alignment horizontal="left" vertical="center" wrapText="1"/>
    </xf>
    <xf numFmtId="0" fontId="61" fillId="0" borderId="11" xfId="17" applyNumberFormat="1" applyFont="1" applyFill="1" applyBorder="1" applyAlignment="1" applyProtection="1">
      <alignment horizontal="left" vertical="center" wrapText="1"/>
    </xf>
    <xf numFmtId="0" fontId="18" fillId="0" borderId="62" xfId="7" applyFont="1" applyFill="1" applyBorder="1" applyAlignment="1" applyProtection="1">
      <alignment horizontal="center" wrapText="1"/>
      <protection hidden="1"/>
    </xf>
    <xf numFmtId="0" fontId="18" fillId="0" borderId="62" xfId="0" applyFont="1" applyBorder="1"/>
    <xf numFmtId="0" fontId="62" fillId="0" borderId="0" xfId="0" applyFont="1"/>
    <xf numFmtId="165" fontId="18" fillId="0" borderId="15" xfId="7" applyNumberFormat="1" applyFont="1" applyFill="1" applyBorder="1" applyAlignment="1" applyProtection="1">
      <alignment horizontal="center" wrapText="1"/>
      <protection hidden="1"/>
    </xf>
    <xf numFmtId="0" fontId="18" fillId="0" borderId="63" xfId="7" applyFont="1" applyBorder="1" applyAlignment="1" applyProtection="1">
      <alignment horizontal="center"/>
      <protection hidden="1"/>
    </xf>
    <xf numFmtId="0" fontId="18" fillId="0" borderId="64" xfId="7" applyFont="1" applyBorder="1" applyProtection="1">
      <protection hidden="1"/>
    </xf>
    <xf numFmtId="165" fontId="18" fillId="0" borderId="65" xfId="7" applyNumberFormat="1" applyFont="1" applyFill="1" applyBorder="1" applyAlignment="1" applyProtection="1">
      <alignment horizontal="center" wrapText="1"/>
      <protection hidden="1"/>
    </xf>
    <xf numFmtId="0" fontId="18" fillId="0" borderId="66" xfId="7" applyFont="1" applyFill="1" applyBorder="1" applyAlignment="1" applyProtection="1">
      <alignment horizontal="center"/>
      <protection hidden="1"/>
    </xf>
    <xf numFmtId="0" fontId="18" fillId="0" borderId="67" xfId="7" applyFont="1" applyFill="1" applyBorder="1" applyAlignment="1" applyProtection="1">
      <alignment horizontal="center"/>
      <protection hidden="1"/>
    </xf>
    <xf numFmtId="0" fontId="18" fillId="0" borderId="68" xfId="7" applyFont="1" applyBorder="1" applyProtection="1">
      <protection hidden="1"/>
    </xf>
    <xf numFmtId="165" fontId="18" fillId="0" borderId="69" xfId="7" applyNumberFormat="1" applyFont="1" applyFill="1" applyBorder="1" applyAlignment="1" applyProtection="1">
      <alignment horizontal="center" wrapText="1"/>
      <protection hidden="1"/>
    </xf>
    <xf numFmtId="0" fontId="18" fillId="0" borderId="70" xfId="7" applyFont="1" applyFill="1" applyBorder="1" applyAlignment="1" applyProtection="1">
      <alignment horizontal="center"/>
      <protection hidden="1"/>
    </xf>
    <xf numFmtId="0" fontId="18" fillId="0" borderId="15" xfId="12" applyFont="1" applyFill="1" applyBorder="1" applyAlignment="1" applyProtection="1">
      <alignment horizontal="center" wrapText="1"/>
      <protection hidden="1"/>
    </xf>
    <xf numFmtId="165" fontId="18" fillId="0" borderId="12" xfId="0" applyNumberFormat="1" applyFont="1" applyBorder="1" applyAlignment="1" applyProtection="1">
      <alignment horizontal="center" wrapText="1"/>
      <protection hidden="1"/>
    </xf>
    <xf numFmtId="0" fontId="18" fillId="0" borderId="71" xfId="12" applyFont="1" applyFill="1" applyBorder="1" applyAlignment="1" applyProtection="1">
      <alignment horizontal="center" wrapText="1"/>
      <protection hidden="1"/>
    </xf>
    <xf numFmtId="0" fontId="18" fillId="0" borderId="70" xfId="12" applyFont="1" applyFill="1" applyBorder="1" applyAlignment="1" applyProtection="1">
      <alignment horizontal="center" wrapText="1"/>
      <protection hidden="1"/>
    </xf>
    <xf numFmtId="0" fontId="18" fillId="0" borderId="72" xfId="12" applyFont="1" applyFill="1" applyBorder="1" applyAlignment="1" applyProtection="1">
      <alignment horizontal="center" wrapText="1"/>
      <protection hidden="1"/>
    </xf>
    <xf numFmtId="0" fontId="18" fillId="0" borderId="38" xfId="12" applyFont="1" applyFill="1" applyBorder="1" applyAlignment="1" applyProtection="1">
      <alignment horizontal="center" wrapText="1"/>
      <protection hidden="1"/>
    </xf>
    <xf numFmtId="0" fontId="18" fillId="0" borderId="73" xfId="12" applyFont="1" applyFill="1" applyBorder="1" applyAlignment="1" applyProtection="1">
      <alignment horizontal="center" wrapText="1"/>
      <protection hidden="1"/>
    </xf>
    <xf numFmtId="0" fontId="18" fillId="0" borderId="71" xfId="14" applyFont="1" applyFill="1" applyBorder="1" applyAlignment="1" applyProtection="1">
      <alignment horizontal="center" wrapText="1"/>
      <protection hidden="1"/>
    </xf>
    <xf numFmtId="0" fontId="18" fillId="0" borderId="15" xfId="14" applyFont="1" applyFill="1" applyBorder="1" applyAlignment="1" applyProtection="1">
      <alignment horizontal="center" wrapText="1"/>
      <protection hidden="1"/>
    </xf>
    <xf numFmtId="165" fontId="18" fillId="0" borderId="74" xfId="7" applyNumberFormat="1" applyFont="1" applyFill="1" applyBorder="1" applyAlignment="1" applyProtection="1">
      <alignment horizontal="center" wrapText="1"/>
      <protection hidden="1"/>
    </xf>
    <xf numFmtId="165" fontId="18" fillId="0" borderId="75" xfId="7" applyNumberFormat="1" applyFont="1" applyFill="1" applyBorder="1" applyAlignment="1" applyProtection="1">
      <alignment horizontal="center" wrapText="1"/>
      <protection hidden="1"/>
    </xf>
    <xf numFmtId="165" fontId="18" fillId="0" borderId="58" xfId="7" applyNumberFormat="1" applyFont="1" applyFill="1" applyBorder="1" applyAlignment="1" applyProtection="1">
      <alignment horizontal="center" wrapText="1"/>
      <protection hidden="1"/>
    </xf>
    <xf numFmtId="165" fontId="5" fillId="0" borderId="71" xfId="0" applyNumberFormat="1" applyFont="1" applyBorder="1" applyAlignment="1" applyProtection="1">
      <alignment horizontal="center" wrapText="1"/>
      <protection hidden="1"/>
    </xf>
    <xf numFmtId="165" fontId="5" fillId="0" borderId="0" xfId="0" applyNumberFormat="1" applyFont="1" applyBorder="1" applyAlignment="1" applyProtection="1">
      <alignment horizontal="center" wrapText="1"/>
      <protection hidden="1"/>
    </xf>
    <xf numFmtId="0" fontId="19" fillId="2" borderId="0" xfId="7" applyFont="1" applyFill="1" applyBorder="1" applyAlignment="1" applyProtection="1">
      <alignment horizontal="center" wrapText="1"/>
      <protection hidden="1"/>
    </xf>
    <xf numFmtId="0" fontId="39" fillId="9" borderId="8" xfId="0" applyFont="1" applyFill="1" applyBorder="1" applyAlignment="1" applyProtection="1">
      <alignment vertical="center" wrapText="1"/>
    </xf>
    <xf numFmtId="0" fontId="0" fillId="0" borderId="0" xfId="0" applyBorder="1"/>
    <xf numFmtId="0" fontId="51" fillId="0" borderId="0" xfId="0" applyFont="1" applyBorder="1" applyAlignment="1"/>
    <xf numFmtId="171" fontId="23" fillId="3" borderId="14" xfId="0" applyNumberFormat="1" applyFont="1" applyFill="1" applyBorder="1" applyAlignment="1" applyProtection="1">
      <alignment horizontal="center" shrinkToFit="1"/>
    </xf>
    <xf numFmtId="0" fontId="18" fillId="0" borderId="70" xfId="11" applyFont="1" applyFill="1" applyBorder="1" applyAlignment="1" applyProtection="1">
      <alignment horizontal="center"/>
      <protection hidden="1"/>
    </xf>
    <xf numFmtId="175" fontId="0" fillId="0" borderId="0" xfId="1" applyNumberFormat="1" applyFont="1"/>
    <xf numFmtId="0" fontId="64" fillId="0" borderId="0" xfId="16"/>
    <xf numFmtId="0" fontId="10" fillId="0" borderId="0" xfId="16" applyFont="1" applyAlignment="1">
      <alignment vertical="center"/>
    </xf>
    <xf numFmtId="0" fontId="64" fillId="0" borderId="0" xfId="16" applyAlignment="1">
      <alignment vertical="center"/>
    </xf>
    <xf numFmtId="0" fontId="64" fillId="0" borderId="0" xfId="16" applyBorder="1"/>
    <xf numFmtId="0" fontId="10" fillId="0" borderId="62" xfId="16" applyFont="1" applyBorder="1" applyAlignment="1"/>
    <xf numFmtId="0" fontId="64" fillId="0" borderId="62" xfId="16" applyBorder="1"/>
    <xf numFmtId="0" fontId="64" fillId="0" borderId="62" xfId="16" applyBorder="1" applyAlignment="1" applyProtection="1">
      <alignment horizontal="left" vertical="top" wrapText="1"/>
      <protection locked="0"/>
    </xf>
    <xf numFmtId="0" fontId="64" fillId="0" borderId="0" xfId="16" applyProtection="1">
      <protection locked="0"/>
    </xf>
    <xf numFmtId="0" fontId="10" fillId="0" borderId="0" xfId="16" applyFont="1" applyAlignment="1">
      <alignment horizontal="right" vertical="center"/>
    </xf>
    <xf numFmtId="0" fontId="64" fillId="0" borderId="20" xfId="16" applyBorder="1"/>
    <xf numFmtId="0" fontId="64" fillId="0" borderId="21" xfId="16" applyBorder="1"/>
    <xf numFmtId="0" fontId="64" fillId="0" borderId="0" xfId="16" applyAlignment="1">
      <alignment horizontal="right"/>
    </xf>
    <xf numFmtId="0" fontId="64" fillId="0" borderId="32" xfId="16" applyBorder="1"/>
    <xf numFmtId="0" fontId="64" fillId="0" borderId="18" xfId="16" applyBorder="1"/>
    <xf numFmtId="0" fontId="64" fillId="0" borderId="19" xfId="16" applyBorder="1"/>
    <xf numFmtId="0" fontId="64" fillId="0" borderId="23" xfId="16" applyBorder="1"/>
    <xf numFmtId="0" fontId="64" fillId="0" borderId="24" xfId="16" applyBorder="1"/>
    <xf numFmtId="0" fontId="64" fillId="0" borderId="41" xfId="16" applyBorder="1"/>
    <xf numFmtId="0" fontId="64" fillId="0" borderId="0" xfId="16" applyProtection="1"/>
    <xf numFmtId="0" fontId="3" fillId="0" borderId="0" xfId="16" applyFont="1" applyAlignment="1" applyProtection="1">
      <alignment horizontal="center"/>
    </xf>
    <xf numFmtId="0" fontId="10" fillId="0" borderId="0" xfId="16" applyFont="1" applyAlignment="1" applyProtection="1">
      <alignment vertical="center"/>
    </xf>
    <xf numFmtId="0" fontId="64" fillId="0" borderId="31" xfId="16" applyBorder="1" applyAlignment="1" applyProtection="1">
      <alignment horizontal="center" wrapText="1"/>
    </xf>
    <xf numFmtId="0" fontId="64" fillId="0" borderId="0" xfId="16" applyBorder="1" applyAlignment="1" applyProtection="1">
      <alignment horizontal="center" wrapText="1"/>
    </xf>
    <xf numFmtId="0" fontId="64" fillId="0" borderId="0" xfId="16" applyAlignment="1" applyProtection="1">
      <alignment vertical="center"/>
    </xf>
    <xf numFmtId="0" fontId="64" fillId="0" borderId="0" xfId="16" applyBorder="1" applyProtection="1"/>
    <xf numFmtId="0" fontId="64" fillId="0" borderId="0" xfId="16" applyBorder="1" applyAlignment="1" applyProtection="1">
      <alignment vertical="center"/>
    </xf>
    <xf numFmtId="0" fontId="65" fillId="0" borderId="0" xfId="16" applyFont="1" applyAlignment="1" applyProtection="1">
      <alignment horizontal="center"/>
    </xf>
    <xf numFmtId="0" fontId="10" fillId="0" borderId="62" xfId="16" applyFont="1" applyBorder="1" applyProtection="1"/>
    <xf numFmtId="0" fontId="64" fillId="0" borderId="0" xfId="16" applyBorder="1" applyAlignment="1" applyProtection="1">
      <alignment horizontal="left" vertical="top" wrapText="1"/>
    </xf>
    <xf numFmtId="0" fontId="5" fillId="0" borderId="0" xfId="16" applyFont="1" applyAlignment="1" applyProtection="1">
      <alignment horizontal="center"/>
    </xf>
    <xf numFmtId="166" fontId="18" fillId="0" borderId="0" xfId="1" applyFont="1"/>
    <xf numFmtId="0" fontId="5" fillId="0" borderId="0" xfId="17" applyFont="1"/>
    <xf numFmtId="0" fontId="67" fillId="0" borderId="0" xfId="17" applyFont="1" applyFill="1" applyBorder="1" applyAlignment="1" applyProtection="1">
      <alignment horizontal="left"/>
    </xf>
    <xf numFmtId="0" fontId="22" fillId="0" borderId="0" xfId="8" applyFont="1" applyAlignment="1" applyProtection="1">
      <alignment horizontal="right"/>
      <protection hidden="1"/>
    </xf>
    <xf numFmtId="0" fontId="18" fillId="0" borderId="0" xfId="8" applyFont="1" applyFill="1" applyBorder="1" applyProtection="1">
      <protection hidden="1"/>
    </xf>
    <xf numFmtId="0" fontId="22" fillId="7" borderId="0" xfId="8" applyFont="1" applyFill="1" applyBorder="1" applyAlignment="1" applyProtection="1">
      <alignment horizontal="center"/>
      <protection hidden="1"/>
    </xf>
    <xf numFmtId="0" fontId="18" fillId="0" borderId="0" xfId="8" applyFont="1" applyProtection="1">
      <protection hidden="1"/>
    </xf>
    <xf numFmtId="0" fontId="22" fillId="7" borderId="0" xfId="8" applyFont="1" applyFill="1" applyAlignment="1" applyProtection="1">
      <alignment horizontal="center"/>
      <protection hidden="1"/>
    </xf>
    <xf numFmtId="0" fontId="19" fillId="0" borderId="12" xfId="8" applyFont="1" applyFill="1" applyBorder="1" applyAlignment="1" applyProtection="1">
      <alignment horizontal="center" wrapText="1"/>
      <protection hidden="1"/>
    </xf>
    <xf numFmtId="0" fontId="19" fillId="2" borderId="4" xfId="8" applyFont="1" applyFill="1" applyBorder="1" applyAlignment="1" applyProtection="1">
      <alignment horizontal="center" wrapText="1"/>
      <protection hidden="1"/>
    </xf>
    <xf numFmtId="0" fontId="19" fillId="2" borderId="12" xfId="8" applyFont="1" applyFill="1" applyBorder="1" applyAlignment="1" applyProtection="1">
      <alignment horizontal="center" wrapText="1"/>
      <protection hidden="1"/>
    </xf>
    <xf numFmtId="0" fontId="19" fillId="2" borderId="33" xfId="8" applyFont="1" applyFill="1" applyBorder="1" applyAlignment="1" applyProtection="1">
      <alignment horizontal="center" wrapText="1"/>
      <protection hidden="1"/>
    </xf>
    <xf numFmtId="0" fontId="19" fillId="2" borderId="36" xfId="8" applyFont="1" applyFill="1" applyBorder="1" applyAlignment="1" applyProtection="1">
      <alignment horizontal="center" wrapText="1"/>
      <protection hidden="1"/>
    </xf>
    <xf numFmtId="165" fontId="44" fillId="2" borderId="12" xfId="8" applyNumberFormat="1" applyFont="1" applyFill="1" applyBorder="1" applyAlignment="1" applyProtection="1">
      <alignment horizontal="center" wrapText="1"/>
      <protection hidden="1"/>
    </xf>
    <xf numFmtId="0" fontId="19" fillId="2" borderId="0" xfId="8" applyFont="1" applyFill="1" applyBorder="1" applyAlignment="1" applyProtection="1">
      <alignment horizontal="center" wrapText="1"/>
      <protection hidden="1"/>
    </xf>
    <xf numFmtId="0" fontId="19" fillId="2" borderId="55" xfId="8" applyFont="1" applyFill="1" applyBorder="1" applyAlignment="1" applyProtection="1">
      <alignment horizontal="center" wrapText="1"/>
      <protection hidden="1"/>
    </xf>
    <xf numFmtId="0" fontId="19" fillId="2" borderId="35" xfId="8" applyFont="1" applyFill="1" applyBorder="1" applyAlignment="1" applyProtection="1">
      <alignment horizontal="center" wrapText="1"/>
      <protection hidden="1"/>
    </xf>
    <xf numFmtId="0" fontId="18" fillId="0" borderId="1" xfId="8" applyFont="1" applyFill="1" applyBorder="1" applyAlignment="1" applyProtection="1">
      <alignment horizontal="center" wrapText="1"/>
      <protection hidden="1"/>
    </xf>
    <xf numFmtId="0" fontId="18" fillId="0" borderId="1" xfId="8" applyFont="1" applyFill="1" applyBorder="1" applyAlignment="1" applyProtection="1">
      <alignment horizontal="center"/>
      <protection hidden="1"/>
    </xf>
    <xf numFmtId="0" fontId="18" fillId="0" borderId="1" xfId="8" applyFont="1" applyFill="1" applyBorder="1" applyAlignment="1" applyProtection="1">
      <alignment horizontal="left"/>
      <protection hidden="1"/>
    </xf>
    <xf numFmtId="165" fontId="18" fillId="0" borderId="1" xfId="8" applyNumberFormat="1" applyFont="1" applyFill="1" applyBorder="1" applyAlignment="1" applyProtection="1">
      <alignment horizontal="center" wrapText="1"/>
      <protection hidden="1"/>
    </xf>
    <xf numFmtId="0" fontId="18" fillId="0" borderId="0" xfId="8" applyFont="1" applyAlignment="1" applyProtection="1">
      <protection hidden="1"/>
    </xf>
    <xf numFmtId="165" fontId="18" fillId="0" borderId="0" xfId="8" applyNumberFormat="1" applyFont="1" applyFill="1" applyBorder="1" applyAlignment="1" applyProtection="1">
      <alignment horizontal="center" wrapText="1"/>
      <protection hidden="1"/>
    </xf>
    <xf numFmtId="0" fontId="18" fillId="0" borderId="49" xfId="8" applyFont="1" applyBorder="1" applyProtection="1">
      <protection hidden="1"/>
    </xf>
    <xf numFmtId="169" fontId="47" fillId="0" borderId="52" xfId="8" applyNumberFormat="1" applyFont="1" applyBorder="1" applyAlignment="1" applyProtection="1">
      <alignment horizontal="left"/>
      <protection hidden="1"/>
    </xf>
    <xf numFmtId="169" fontId="47" fillId="0" borderId="38" xfId="8" applyNumberFormat="1" applyFont="1" applyBorder="1" applyAlignment="1" applyProtection="1">
      <alignment horizontal="left"/>
      <protection hidden="1"/>
    </xf>
    <xf numFmtId="0" fontId="18" fillId="0" borderId="0" xfId="8" applyFont="1" applyAlignment="1" applyProtection="1">
      <alignment horizontal="center"/>
      <protection hidden="1"/>
    </xf>
    <xf numFmtId="0" fontId="18" fillId="0" borderId="1" xfId="10" applyFont="1" applyFill="1" applyBorder="1" applyAlignment="1" applyProtection="1">
      <alignment horizontal="center"/>
      <protection hidden="1"/>
    </xf>
    <xf numFmtId="0" fontId="18" fillId="0" borderId="0" xfId="8" applyFont="1" applyFill="1" applyBorder="1" applyAlignment="1" applyProtection="1">
      <alignment horizontal="center"/>
      <protection hidden="1"/>
    </xf>
    <xf numFmtId="0" fontId="18" fillId="0" borderId="63" xfId="8" applyFont="1" applyBorder="1" applyAlignment="1" applyProtection="1">
      <alignment horizontal="center"/>
      <protection hidden="1"/>
    </xf>
    <xf numFmtId="0" fontId="18" fillId="0" borderId="64" xfId="8" applyFont="1" applyBorder="1" applyProtection="1">
      <protection hidden="1"/>
    </xf>
    <xf numFmtId="0" fontId="18" fillId="0" borderId="1" xfId="8" applyFont="1" applyFill="1" applyBorder="1" applyAlignment="1" applyProtection="1">
      <alignment horizontal="left" wrapText="1"/>
      <protection hidden="1"/>
    </xf>
    <xf numFmtId="0" fontId="18" fillId="0" borderId="66" xfId="8" applyFont="1" applyFill="1" applyBorder="1" applyAlignment="1" applyProtection="1">
      <alignment horizontal="center"/>
      <protection hidden="1"/>
    </xf>
    <xf numFmtId="0" fontId="18" fillId="0" borderId="0" xfId="8" applyFont="1" applyBorder="1" applyProtection="1">
      <protection hidden="1"/>
    </xf>
    <xf numFmtId="0" fontId="18" fillId="0" borderId="67" xfId="8" applyFont="1" applyFill="1" applyBorder="1" applyAlignment="1" applyProtection="1">
      <alignment horizontal="center"/>
      <protection hidden="1"/>
    </xf>
    <xf numFmtId="0" fontId="18" fillId="0" borderId="68" xfId="8" applyFont="1" applyBorder="1" applyProtection="1">
      <protection hidden="1"/>
    </xf>
    <xf numFmtId="165" fontId="18" fillId="0" borderId="69" xfId="8" applyNumberFormat="1" applyFont="1" applyFill="1" applyBorder="1" applyAlignment="1" applyProtection="1">
      <alignment horizontal="center" wrapText="1"/>
      <protection hidden="1"/>
    </xf>
    <xf numFmtId="0" fontId="18" fillId="0" borderId="15" xfId="13" applyFont="1" applyFill="1" applyBorder="1" applyAlignment="1" applyProtection="1">
      <alignment horizontal="center" wrapText="1"/>
      <protection hidden="1"/>
    </xf>
    <xf numFmtId="165" fontId="18" fillId="0" borderId="15" xfId="8" applyNumberFormat="1" applyFont="1" applyFill="1" applyBorder="1" applyAlignment="1" applyProtection="1">
      <alignment horizontal="center" wrapText="1"/>
      <protection hidden="1"/>
    </xf>
    <xf numFmtId="0" fontId="18" fillId="0" borderId="0" xfId="8" applyFont="1" applyFill="1" applyBorder="1" applyAlignment="1" applyProtection="1">
      <alignment horizontal="center" wrapText="1"/>
      <protection hidden="1"/>
    </xf>
    <xf numFmtId="168" fontId="18" fillId="0" borderId="12" xfId="8" applyNumberFormat="1" applyFont="1" applyFill="1" applyBorder="1" applyAlignment="1" applyProtection="1">
      <alignment horizontal="center" wrapText="1"/>
      <protection hidden="1"/>
    </xf>
    <xf numFmtId="0" fontId="18" fillId="0" borderId="12" xfId="8" applyFont="1" applyFill="1" applyBorder="1" applyAlignment="1" applyProtection="1">
      <alignment horizontal="center" wrapText="1"/>
      <protection hidden="1"/>
    </xf>
    <xf numFmtId="0" fontId="18" fillId="0" borderId="12" xfId="8" applyFont="1" applyFill="1" applyBorder="1" applyAlignment="1" applyProtection="1">
      <alignment horizontal="left" wrapText="1"/>
      <protection hidden="1"/>
    </xf>
    <xf numFmtId="0" fontId="18" fillId="0" borderId="1" xfId="13" applyFont="1" applyFill="1" applyBorder="1" applyAlignment="1" applyProtection="1">
      <alignment horizontal="center" wrapText="1"/>
      <protection hidden="1"/>
    </xf>
    <xf numFmtId="2" fontId="19" fillId="2" borderId="76" xfId="17" applyNumberFormat="1" applyFont="1" applyFill="1" applyBorder="1" applyAlignment="1" applyProtection="1">
      <alignment horizontal="center" vertical="center" wrapText="1"/>
      <protection hidden="1"/>
    </xf>
    <xf numFmtId="173" fontId="0" fillId="0" borderId="18" xfId="0" applyNumberFormat="1" applyFill="1" applyBorder="1"/>
    <xf numFmtId="173" fontId="0" fillId="0" borderId="0" xfId="0" applyNumberFormat="1" applyFill="1" applyBorder="1"/>
    <xf numFmtId="173" fontId="0" fillId="0" borderId="24" xfId="0" applyNumberFormat="1" applyFill="1" applyBorder="1"/>
    <xf numFmtId="0" fontId="5" fillId="0" borderId="62" xfId="16" applyNumberFormat="1" applyFont="1" applyBorder="1" applyAlignment="1" applyProtection="1">
      <alignment horizontal="left" vertical="top" wrapText="1"/>
    </xf>
    <xf numFmtId="0" fontId="10" fillId="0" borderId="62" xfId="16" applyFont="1" applyBorder="1"/>
    <xf numFmtId="0" fontId="5" fillId="0" borderId="62" xfId="16" applyFont="1" applyBorder="1" applyAlignment="1" applyProtection="1">
      <alignment horizontal="left" vertical="top" wrapText="1"/>
      <protection locked="0"/>
    </xf>
    <xf numFmtId="0" fontId="64" fillId="0" borderId="62" xfId="16" applyBorder="1" applyAlignment="1">
      <alignment horizontal="center" vertical="top"/>
    </xf>
    <xf numFmtId="0" fontId="18" fillId="0" borderId="0" xfId="0" applyFont="1" applyProtection="1">
      <protection hidden="1"/>
    </xf>
    <xf numFmtId="0" fontId="5" fillId="0" borderId="49" xfId="0" applyFont="1" applyFill="1" applyBorder="1" applyAlignment="1" applyProtection="1">
      <alignment horizontal="center" vertical="center"/>
      <protection locked="0"/>
    </xf>
    <xf numFmtId="0" fontId="5" fillId="3" borderId="49" xfId="0" applyFont="1" applyFill="1" applyBorder="1" applyAlignment="1" applyProtection="1">
      <alignment horizontal="center" vertical="center" shrinkToFit="1"/>
      <protection locked="0"/>
    </xf>
    <xf numFmtId="0" fontId="5" fillId="6" borderId="49" xfId="0" applyFont="1" applyFill="1" applyBorder="1" applyAlignment="1" applyProtection="1">
      <alignment horizontal="center" vertical="center"/>
      <protection locked="0"/>
    </xf>
    <xf numFmtId="0" fontId="5" fillId="6" borderId="50" xfId="0" applyFont="1" applyFill="1" applyBorder="1" applyAlignment="1" applyProtection="1">
      <alignment horizontal="center" vertical="center"/>
      <protection locked="0"/>
    </xf>
    <xf numFmtId="0" fontId="39" fillId="9" borderId="76" xfId="0" applyFont="1" applyFill="1" applyBorder="1" applyAlignment="1" applyProtection="1">
      <alignment horizontal="center" vertical="center"/>
    </xf>
    <xf numFmtId="0" fontId="5" fillId="6" borderId="53" xfId="17" applyFont="1" applyFill="1" applyBorder="1" applyAlignment="1" applyProtection="1">
      <alignment horizontal="center" vertical="center" shrinkToFit="1"/>
      <protection locked="0"/>
    </xf>
    <xf numFmtId="0" fontId="5" fillId="0" borderId="54" xfId="0" applyFont="1" applyFill="1" applyBorder="1" applyAlignment="1" applyProtection="1">
      <alignment horizontal="center" vertical="center"/>
      <protection locked="0"/>
    </xf>
    <xf numFmtId="0" fontId="49" fillId="0" borderId="1" xfId="8" applyFont="1" applyFill="1" applyBorder="1" applyAlignment="1" applyProtection="1">
      <alignment horizontal="center" wrapText="1"/>
      <protection hidden="1"/>
    </xf>
    <xf numFmtId="0" fontId="63" fillId="0" borderId="0" xfId="6" applyFont="1" applyFill="1" applyBorder="1" applyAlignment="1">
      <alignment vertical="top"/>
    </xf>
    <xf numFmtId="0" fontId="18" fillId="0" borderId="0" xfId="8" applyFont="1" applyFill="1" applyAlignment="1" applyProtection="1">
      <alignment horizontal="left"/>
      <protection hidden="1"/>
    </xf>
    <xf numFmtId="165" fontId="18" fillId="0" borderId="15" xfId="6" applyNumberFormat="1" applyFont="1" applyBorder="1" applyAlignment="1" applyProtection="1">
      <alignment horizontal="center" wrapText="1"/>
      <protection hidden="1"/>
    </xf>
    <xf numFmtId="0" fontId="18" fillId="0" borderId="15" xfId="8" applyFont="1" applyFill="1" applyBorder="1" applyAlignment="1" applyProtection="1">
      <alignment horizontal="center" wrapText="1"/>
      <protection hidden="1"/>
    </xf>
    <xf numFmtId="0" fontId="18" fillId="0" borderId="77" xfId="8" applyFont="1" applyBorder="1" applyProtection="1">
      <protection hidden="1"/>
    </xf>
    <xf numFmtId="0" fontId="18" fillId="0" borderId="12" xfId="13" applyFont="1" applyFill="1" applyBorder="1" applyAlignment="1" applyProtection="1">
      <alignment horizontal="center" wrapText="1"/>
      <protection hidden="1"/>
    </xf>
    <xf numFmtId="0" fontId="18" fillId="0" borderId="78" xfId="8" applyFont="1" applyBorder="1" applyProtection="1">
      <protection hidden="1"/>
    </xf>
    <xf numFmtId="0" fontId="18" fillId="0" borderId="71" xfId="8" applyFont="1" applyFill="1" applyBorder="1" applyAlignment="1" applyProtection="1">
      <alignment horizontal="center" wrapText="1"/>
      <protection hidden="1"/>
    </xf>
    <xf numFmtId="0" fontId="18" fillId="0" borderId="79" xfId="8" applyFont="1" applyBorder="1" applyProtection="1">
      <protection hidden="1"/>
    </xf>
    <xf numFmtId="165" fontId="18" fillId="0" borderId="65" xfId="8" applyNumberFormat="1" applyFont="1" applyFill="1" applyBorder="1" applyAlignment="1" applyProtection="1">
      <alignment horizontal="center" wrapText="1"/>
      <protection hidden="1"/>
    </xf>
    <xf numFmtId="0" fontId="18" fillId="0" borderId="70" xfId="8" applyFont="1" applyFill="1" applyBorder="1" applyAlignment="1" applyProtection="1">
      <alignment horizontal="center" wrapText="1"/>
      <protection hidden="1"/>
    </xf>
    <xf numFmtId="165" fontId="18" fillId="0" borderId="70" xfId="8" applyNumberFormat="1" applyFont="1" applyFill="1" applyBorder="1" applyAlignment="1" applyProtection="1">
      <alignment horizontal="center" wrapText="1"/>
      <protection hidden="1"/>
    </xf>
    <xf numFmtId="0" fontId="18" fillId="0" borderId="0" xfId="6" applyFont="1"/>
    <xf numFmtId="0" fontId="18" fillId="0" borderId="0" xfId="6" applyFont="1" applyProtection="1">
      <protection hidden="1"/>
    </xf>
    <xf numFmtId="164" fontId="18" fillId="0" borderId="0" xfId="6" applyNumberFormat="1" applyFont="1" applyAlignment="1">
      <alignment horizontal="center"/>
    </xf>
    <xf numFmtId="0" fontId="18" fillId="0" borderId="0" xfId="6" applyFont="1" applyAlignment="1">
      <alignment horizontal="center"/>
    </xf>
    <xf numFmtId="0" fontId="47" fillId="0" borderId="0" xfId="8" applyFont="1" applyProtection="1">
      <protection hidden="1"/>
    </xf>
    <xf numFmtId="9" fontId="18" fillId="0" borderId="1" xfId="8" applyNumberFormat="1" applyFont="1" applyFill="1" applyBorder="1" applyAlignment="1" applyProtection="1">
      <alignment horizontal="left" wrapText="1"/>
      <protection hidden="1"/>
    </xf>
    <xf numFmtId="0" fontId="44" fillId="2" borderId="12" xfId="8" applyFont="1" applyFill="1" applyBorder="1" applyAlignment="1" applyProtection="1">
      <alignment horizontal="center"/>
      <protection hidden="1"/>
    </xf>
    <xf numFmtId="0" fontId="19" fillId="2" borderId="34" xfId="8" applyFont="1" applyFill="1" applyBorder="1" applyAlignment="1" applyProtection="1">
      <alignment horizontal="center" wrapText="1"/>
      <protection hidden="1"/>
    </xf>
    <xf numFmtId="0" fontId="19" fillId="2" borderId="4" xfId="8" applyFont="1" applyFill="1" applyBorder="1" applyAlignment="1" applyProtection="1">
      <alignment horizontal="center"/>
      <protection hidden="1"/>
    </xf>
    <xf numFmtId="0" fontId="18" fillId="0" borderId="80" xfId="13" applyFont="1" applyFill="1" applyBorder="1" applyAlignment="1" applyProtection="1">
      <alignment horizontal="center"/>
      <protection hidden="1"/>
    </xf>
    <xf numFmtId="0" fontId="18" fillId="0" borderId="0" xfId="13" applyFont="1" applyBorder="1" applyProtection="1">
      <protection hidden="1"/>
    </xf>
    <xf numFmtId="165" fontId="18" fillId="0" borderId="15" xfId="0" applyNumberFormat="1" applyFont="1" applyBorder="1" applyAlignment="1" applyProtection="1">
      <alignment horizontal="center" wrapText="1"/>
      <protection hidden="1"/>
    </xf>
    <xf numFmtId="0" fontId="19" fillId="2" borderId="12" xfId="8" applyFont="1" applyFill="1" applyBorder="1" applyAlignment="1" applyProtection="1">
      <alignment horizontal="center"/>
      <protection hidden="1"/>
    </xf>
    <xf numFmtId="0" fontId="22" fillId="0" borderId="0" xfId="15" applyFont="1" applyAlignment="1" applyProtection="1">
      <alignment horizontal="right"/>
      <protection hidden="1"/>
    </xf>
    <xf numFmtId="0" fontId="18" fillId="0" borderId="0" xfId="15" applyFont="1" applyFill="1" applyBorder="1" applyProtection="1">
      <protection hidden="1"/>
    </xf>
    <xf numFmtId="0" fontId="22" fillId="7" borderId="0" xfId="15" applyFont="1" applyFill="1" applyBorder="1" applyAlignment="1" applyProtection="1">
      <alignment horizontal="center"/>
      <protection hidden="1"/>
    </xf>
    <xf numFmtId="0" fontId="18" fillId="0" borderId="0" xfId="15" applyFont="1" applyProtection="1">
      <protection hidden="1"/>
    </xf>
    <xf numFmtId="0" fontId="22" fillId="7" borderId="0" xfId="15" applyFont="1" applyFill="1" applyAlignment="1" applyProtection="1">
      <alignment horizontal="center"/>
      <protection hidden="1"/>
    </xf>
    <xf numFmtId="0" fontId="19" fillId="0" borderId="12" xfId="15" applyFont="1" applyFill="1" applyBorder="1" applyAlignment="1" applyProtection="1">
      <alignment horizontal="center" wrapText="1"/>
      <protection hidden="1"/>
    </xf>
    <xf numFmtId="0" fontId="19" fillId="2" borderId="4" xfId="15" applyFont="1" applyFill="1" applyBorder="1" applyAlignment="1" applyProtection="1">
      <alignment horizontal="center" wrapText="1"/>
      <protection hidden="1"/>
    </xf>
    <xf numFmtId="0" fontId="19" fillId="2" borderId="12" xfId="15" applyFont="1" applyFill="1" applyBorder="1" applyAlignment="1" applyProtection="1">
      <alignment horizontal="center" wrapText="1"/>
      <protection hidden="1"/>
    </xf>
    <xf numFmtId="0" fontId="19" fillId="2" borderId="33" xfId="15" applyFont="1" applyFill="1" applyBorder="1" applyAlignment="1" applyProtection="1">
      <alignment horizontal="center" wrapText="1"/>
      <protection hidden="1"/>
    </xf>
    <xf numFmtId="0" fontId="47" fillId="2" borderId="34" xfId="15" applyFont="1" applyFill="1" applyBorder="1" applyAlignment="1" applyProtection="1">
      <alignment horizontal="center" wrapText="1"/>
      <protection hidden="1"/>
    </xf>
    <xf numFmtId="0" fontId="19" fillId="2" borderId="36" xfId="15" applyFont="1" applyFill="1" applyBorder="1" applyAlignment="1" applyProtection="1">
      <alignment horizontal="center" wrapText="1"/>
      <protection hidden="1"/>
    </xf>
    <xf numFmtId="0" fontId="19" fillId="2" borderId="36" xfId="0" applyFont="1" applyFill="1" applyBorder="1" applyAlignment="1" applyProtection="1">
      <alignment horizontal="center" wrapText="1"/>
      <protection hidden="1"/>
    </xf>
    <xf numFmtId="0" fontId="44" fillId="2" borderId="12" xfId="15" applyFont="1" applyFill="1" applyBorder="1" applyAlignment="1" applyProtection="1">
      <alignment horizontal="center" wrapText="1"/>
      <protection hidden="1"/>
    </xf>
    <xf numFmtId="165" fontId="44" fillId="2" borderId="12" xfId="15" applyNumberFormat="1" applyFont="1" applyFill="1" applyBorder="1" applyAlignment="1" applyProtection="1">
      <alignment horizontal="center" wrapText="1"/>
      <protection hidden="1"/>
    </xf>
    <xf numFmtId="0" fontId="19" fillId="2" borderId="55" xfId="15" applyFont="1" applyFill="1" applyBorder="1" applyAlignment="1" applyProtection="1">
      <alignment horizontal="center" wrapText="1"/>
      <protection hidden="1"/>
    </xf>
    <xf numFmtId="0" fontId="19" fillId="2" borderId="35" xfId="15" applyFont="1" applyFill="1" applyBorder="1" applyAlignment="1" applyProtection="1">
      <alignment horizontal="center" wrapText="1"/>
      <protection hidden="1"/>
    </xf>
    <xf numFmtId="0" fontId="47" fillId="2" borderId="36" xfId="15" applyFont="1" applyFill="1" applyBorder="1" applyAlignment="1" applyProtection="1">
      <alignment horizontal="center" wrapText="1"/>
      <protection hidden="1"/>
    </xf>
    <xf numFmtId="0" fontId="47" fillId="0" borderId="0" xfId="15" applyFont="1" applyAlignment="1" applyProtection="1">
      <protection hidden="1"/>
    </xf>
    <xf numFmtId="168" fontId="18" fillId="0" borderId="12" xfId="15" applyNumberFormat="1" applyFont="1" applyFill="1" applyBorder="1" applyAlignment="1" applyProtection="1">
      <alignment horizontal="center"/>
      <protection hidden="1"/>
    </xf>
    <xf numFmtId="0" fontId="18" fillId="0" borderId="1" xfId="15" applyFont="1" applyFill="1" applyBorder="1" applyAlignment="1" applyProtection="1">
      <alignment horizontal="center" wrapText="1"/>
      <protection hidden="1"/>
    </xf>
    <xf numFmtId="0" fontId="18" fillId="0" borderId="1" xfId="15" applyFont="1" applyFill="1" applyBorder="1" applyAlignment="1" applyProtection="1">
      <alignment horizontal="center"/>
      <protection hidden="1"/>
    </xf>
    <xf numFmtId="0" fontId="18" fillId="0" borderId="0" xfId="15" applyFont="1" applyAlignment="1" applyProtection="1">
      <protection hidden="1"/>
    </xf>
    <xf numFmtId="0" fontId="18" fillId="0" borderId="12" xfId="15" applyFont="1" applyFill="1" applyBorder="1" applyAlignment="1" applyProtection="1">
      <alignment horizontal="left"/>
      <protection hidden="1"/>
    </xf>
    <xf numFmtId="165" fontId="18" fillId="0" borderId="1" xfId="15" applyNumberFormat="1" applyFont="1" applyFill="1" applyBorder="1" applyAlignment="1" applyProtection="1">
      <alignment horizontal="center"/>
      <protection hidden="1"/>
    </xf>
    <xf numFmtId="0" fontId="18" fillId="0" borderId="1" xfId="15" applyFont="1" applyFill="1" applyBorder="1" applyAlignment="1" applyProtection="1">
      <alignment horizontal="left"/>
      <protection hidden="1"/>
    </xf>
    <xf numFmtId="9" fontId="18" fillId="0" borderId="1" xfId="15" applyNumberFormat="1" applyFont="1" applyFill="1" applyBorder="1" applyAlignment="1" applyProtection="1">
      <alignment horizontal="left"/>
      <protection hidden="1"/>
    </xf>
    <xf numFmtId="165" fontId="18" fillId="0" borderId="1" xfId="15" applyNumberFormat="1" applyFont="1" applyFill="1" applyBorder="1" applyAlignment="1" applyProtection="1">
      <alignment horizontal="center" wrapText="1"/>
      <protection hidden="1"/>
    </xf>
    <xf numFmtId="0" fontId="18" fillId="0" borderId="12" xfId="15" applyFont="1" applyFill="1" applyBorder="1" applyAlignment="1" applyProtection="1">
      <alignment horizontal="center"/>
      <protection hidden="1"/>
    </xf>
    <xf numFmtId="165" fontId="18" fillId="0" borderId="0" xfId="8" applyNumberFormat="1" applyFont="1" applyFill="1" applyBorder="1" applyAlignment="1" applyProtection="1">
      <alignment horizontal="center" wrapText="1"/>
      <protection hidden="1"/>
    </xf>
    <xf numFmtId="164" fontId="18" fillId="0" borderId="0" xfId="0" applyNumberFormat="1" applyFont="1" applyAlignment="1">
      <alignment horizontal="center"/>
    </xf>
    <xf numFmtId="0" fontId="18" fillId="0" borderId="49" xfId="15" applyFont="1" applyBorder="1" applyProtection="1">
      <protection hidden="1"/>
    </xf>
    <xf numFmtId="169" fontId="47" fillId="0" borderId="52" xfId="15" applyNumberFormat="1" applyFont="1" applyBorder="1" applyAlignment="1" applyProtection="1">
      <alignment horizontal="left"/>
      <protection hidden="1"/>
    </xf>
    <xf numFmtId="169" fontId="18" fillId="0" borderId="30" xfId="8" applyNumberFormat="1" applyFont="1" applyBorder="1" applyAlignment="1" applyProtection="1">
      <alignment horizontal="left"/>
      <protection hidden="1"/>
    </xf>
    <xf numFmtId="169" fontId="47" fillId="0" borderId="38" xfId="15" applyNumberFormat="1" applyFont="1" applyBorder="1" applyAlignment="1" applyProtection="1">
      <alignment horizontal="left"/>
      <protection hidden="1"/>
    </xf>
    <xf numFmtId="169" fontId="18" fillId="0" borderId="10" xfId="8" applyNumberFormat="1" applyFont="1" applyBorder="1" applyAlignment="1" applyProtection="1">
      <alignment horizontal="left"/>
      <protection hidden="1"/>
    </xf>
    <xf numFmtId="0" fontId="18" fillId="0" borderId="0" xfId="15" applyFont="1" applyAlignment="1" applyProtection="1">
      <alignment horizontal="center"/>
      <protection hidden="1"/>
    </xf>
    <xf numFmtId="0" fontId="18" fillId="0" borderId="71" xfId="15" applyFont="1" applyFill="1" applyBorder="1" applyAlignment="1" applyProtection="1">
      <alignment horizontal="center"/>
      <protection hidden="1"/>
    </xf>
    <xf numFmtId="0" fontId="18" fillId="0" borderId="0" xfId="15" applyFont="1" applyFill="1" applyBorder="1" applyAlignment="1" applyProtection="1">
      <alignment horizontal="center"/>
      <protection hidden="1"/>
    </xf>
    <xf numFmtId="0" fontId="18" fillId="0" borderId="71" xfId="15" applyFont="1" applyFill="1" applyBorder="1" applyAlignment="1" applyProtection="1">
      <alignment horizontal="left"/>
      <protection hidden="1"/>
    </xf>
    <xf numFmtId="0" fontId="2" fillId="0" borderId="62" xfId="0" applyFont="1" applyBorder="1"/>
    <xf numFmtId="0" fontId="18" fillId="0" borderId="70" xfId="15" applyFont="1" applyFill="1" applyBorder="1" applyAlignment="1" applyProtection="1">
      <alignment horizontal="center"/>
      <protection hidden="1"/>
    </xf>
    <xf numFmtId="165" fontId="18" fillId="0" borderId="74" xfId="15" applyNumberFormat="1" applyFont="1" applyFill="1" applyBorder="1" applyAlignment="1" applyProtection="1">
      <alignment horizontal="center" wrapText="1"/>
      <protection hidden="1"/>
    </xf>
    <xf numFmtId="0" fontId="18" fillId="0" borderId="81" xfId="8" applyFont="1" applyFill="1" applyBorder="1" applyAlignment="1" applyProtection="1">
      <alignment horizontal="center"/>
      <protection hidden="1"/>
    </xf>
    <xf numFmtId="0" fontId="18" fillId="0" borderId="82" xfId="8" applyFont="1" applyBorder="1" applyProtection="1">
      <protection hidden="1"/>
    </xf>
    <xf numFmtId="0" fontId="18" fillId="0" borderId="80" xfId="8" applyFont="1" applyFill="1" applyBorder="1" applyAlignment="1" applyProtection="1">
      <alignment horizontal="center"/>
      <protection hidden="1"/>
    </xf>
    <xf numFmtId="165" fontId="18" fillId="0" borderId="1" xfId="8" applyNumberFormat="1" applyFont="1" applyFill="1" applyBorder="1" applyAlignment="1" applyProtection="1">
      <alignment horizontal="center" wrapText="1"/>
      <protection hidden="1"/>
    </xf>
    <xf numFmtId="168" fontId="18" fillId="0" borderId="12" xfId="15" applyNumberFormat="1" applyFont="1" applyFill="1" applyBorder="1" applyAlignment="1" applyProtection="1">
      <alignment horizontal="center" wrapText="1"/>
      <protection hidden="1"/>
    </xf>
    <xf numFmtId="0" fontId="18" fillId="0" borderId="12" xfId="15" applyFont="1" applyFill="1" applyBorder="1" applyAlignment="1" applyProtection="1">
      <alignment horizontal="left" wrapText="1"/>
      <protection hidden="1"/>
    </xf>
    <xf numFmtId="0" fontId="18" fillId="0" borderId="12" xfId="15" applyFont="1" applyFill="1" applyBorder="1" applyAlignment="1" applyProtection="1">
      <alignment horizontal="center" wrapText="1"/>
      <protection hidden="1"/>
    </xf>
    <xf numFmtId="0" fontId="18" fillId="0" borderId="0" xfId="15" applyFont="1" applyFill="1" applyBorder="1" applyAlignment="1" applyProtection="1">
      <alignment horizontal="center" wrapText="1"/>
      <protection hidden="1"/>
    </xf>
    <xf numFmtId="0" fontId="18" fillId="0" borderId="83" xfId="8" applyFont="1" applyBorder="1" applyProtection="1">
      <protection hidden="1"/>
    </xf>
    <xf numFmtId="165" fontId="18" fillId="0" borderId="15" xfId="15" applyNumberFormat="1" applyFont="1" applyFill="1" applyBorder="1" applyAlignment="1" applyProtection="1">
      <alignment horizontal="center" wrapText="1"/>
      <protection hidden="1"/>
    </xf>
    <xf numFmtId="165" fontId="18" fillId="0" borderId="49" xfId="0" applyNumberFormat="1" applyFont="1" applyBorder="1" applyAlignment="1" applyProtection="1">
      <alignment horizontal="center" wrapText="1"/>
      <protection hidden="1"/>
    </xf>
    <xf numFmtId="0" fontId="18" fillId="0" borderId="15" xfId="15" applyFont="1" applyFill="1" applyBorder="1" applyAlignment="1" applyProtection="1">
      <alignment horizontal="left"/>
      <protection hidden="1"/>
    </xf>
    <xf numFmtId="0" fontId="18" fillId="0" borderId="1" xfId="10" applyFont="1" applyFill="1" applyBorder="1" applyAlignment="1" applyProtection="1">
      <alignment horizontal="left" wrapText="1"/>
      <protection hidden="1"/>
    </xf>
    <xf numFmtId="0" fontId="18" fillId="0" borderId="0" xfId="0" applyFont="1" applyBorder="1"/>
    <xf numFmtId="0" fontId="0" fillId="0" borderId="0" xfId="3" applyNumberFormat="1" applyFont="1" applyFill="1" applyBorder="1"/>
    <xf numFmtId="164" fontId="0" fillId="0" borderId="0" xfId="3" applyNumberFormat="1" applyFont="1" applyFill="1" applyBorder="1"/>
    <xf numFmtId="49" fontId="0" fillId="3" borderId="25" xfId="17" applyNumberFormat="1" applyFont="1" applyFill="1" applyBorder="1" applyAlignment="1" applyProtection="1">
      <alignment vertical="center" shrinkToFit="1"/>
      <protection locked="0"/>
    </xf>
    <xf numFmtId="1" fontId="5" fillId="4" borderId="1" xfId="0" applyNumberFormat="1" applyFont="1" applyFill="1" applyBorder="1" applyAlignment="1" applyProtection="1">
      <alignment horizontal="center" vertical="center" shrinkToFit="1"/>
      <protection locked="0"/>
    </xf>
    <xf numFmtId="1" fontId="5" fillId="5" borderId="1" xfId="0" applyNumberFormat="1" applyFont="1" applyFill="1" applyBorder="1" applyAlignment="1" applyProtection="1">
      <alignment horizontal="center" vertical="center" shrinkToFit="1"/>
      <protection locked="0"/>
    </xf>
    <xf numFmtId="1" fontId="5" fillId="6" borderId="1" xfId="17" applyNumberFormat="1" applyFont="1" applyFill="1" applyBorder="1" applyAlignment="1" applyProtection="1">
      <alignment horizontal="center" vertical="center" shrinkToFit="1"/>
      <protection locked="0"/>
    </xf>
    <xf numFmtId="0" fontId="5" fillId="4" borderId="58" xfId="0" applyFont="1" applyFill="1" applyBorder="1" applyAlignment="1" applyProtection="1">
      <alignment horizontal="center" vertical="center" shrinkToFit="1"/>
      <protection locked="0"/>
    </xf>
    <xf numFmtId="0" fontId="5" fillId="0" borderId="60" xfId="0" applyFont="1" applyFill="1" applyBorder="1" applyAlignment="1" applyProtection="1">
      <alignment horizontal="center" vertical="center" shrinkToFit="1"/>
      <protection locked="0"/>
    </xf>
    <xf numFmtId="0" fontId="53" fillId="0" borderId="0" xfId="0" applyFont="1" applyFill="1" applyBorder="1" applyAlignment="1">
      <alignment horizontal="center" vertical="top" wrapText="1"/>
    </xf>
    <xf numFmtId="0" fontId="5" fillId="6" borderId="59" xfId="0" applyFont="1" applyFill="1" applyBorder="1" applyAlignment="1" applyProtection="1">
      <alignment horizontal="center" vertical="center" shrinkToFit="1"/>
      <protection locked="0"/>
    </xf>
    <xf numFmtId="0" fontId="5" fillId="6" borderId="57" xfId="0" applyFont="1" applyFill="1" applyBorder="1" applyAlignment="1" applyProtection="1">
      <alignment horizontal="center" vertical="center" shrinkToFit="1"/>
      <protection locked="0"/>
    </xf>
    <xf numFmtId="0" fontId="5" fillId="3" borderId="58" xfId="0" applyFont="1" applyFill="1" applyBorder="1" applyAlignment="1" applyProtection="1">
      <alignment horizontal="center" vertical="center" shrinkToFit="1"/>
      <protection locked="0"/>
    </xf>
    <xf numFmtId="0" fontId="5" fillId="0" borderId="0" xfId="17" applyFont="1" applyFill="1" applyBorder="1" applyAlignment="1" applyProtection="1">
      <alignment horizontal="left" vertical="top" wrapText="1"/>
    </xf>
    <xf numFmtId="0" fontId="5" fillId="0" borderId="21" xfId="17" applyFont="1" applyFill="1" applyBorder="1" applyAlignment="1" applyProtection="1">
      <alignment horizontal="left" vertical="top" wrapText="1"/>
    </xf>
    <xf numFmtId="0" fontId="5" fillId="0" borderId="24" xfId="17" applyFont="1" applyFill="1" applyBorder="1" applyAlignment="1" applyProtection="1">
      <alignment horizontal="left" vertical="top" wrapText="1"/>
    </xf>
    <xf numFmtId="0" fontId="5" fillId="0" borderId="41" xfId="17" applyFont="1" applyFill="1" applyBorder="1" applyAlignment="1" applyProtection="1">
      <alignment horizontal="left" vertical="top" wrapText="1"/>
    </xf>
    <xf numFmtId="1" fontId="5" fillId="4" borderId="58" xfId="0" applyNumberFormat="1" applyFont="1" applyFill="1" applyBorder="1" applyAlignment="1" applyProtection="1">
      <alignment horizontal="center" vertical="center" shrinkToFit="1"/>
      <protection locked="0"/>
    </xf>
    <xf numFmtId="1" fontId="5" fillId="5" borderId="58" xfId="0" applyNumberFormat="1" applyFont="1" applyFill="1" applyBorder="1" applyAlignment="1" applyProtection="1">
      <alignment horizontal="center" vertical="center" shrinkToFit="1"/>
      <protection locked="0"/>
    </xf>
    <xf numFmtId="1" fontId="5" fillId="4" borderId="60" xfId="0" applyNumberFormat="1"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shrinkToFit="1"/>
      <protection locked="0"/>
    </xf>
    <xf numFmtId="0" fontId="5" fillId="3" borderId="46" xfId="0" applyFont="1" applyFill="1" applyBorder="1" applyAlignment="1" applyProtection="1">
      <alignment horizontal="center" vertical="center" shrinkToFit="1"/>
      <protection locked="0"/>
    </xf>
    <xf numFmtId="1" fontId="32" fillId="9" borderId="31" xfId="17" applyNumberFormat="1" applyFont="1" applyFill="1" applyBorder="1" applyAlignment="1" applyProtection="1">
      <alignment horizontal="right" wrapText="1"/>
    </xf>
    <xf numFmtId="0" fontId="5" fillId="0" borderId="13" xfId="0" applyFont="1" applyFill="1" applyBorder="1" applyAlignment="1" applyProtection="1">
      <alignment horizontal="center" vertical="center" shrinkToFit="1"/>
      <protection locked="0"/>
    </xf>
    <xf numFmtId="0" fontId="3" fillId="0" borderId="0" xfId="0" applyFont="1" applyFill="1" applyBorder="1" applyAlignment="1" applyProtection="1">
      <alignment vertical="center"/>
      <protection hidden="1"/>
    </xf>
    <xf numFmtId="0" fontId="39" fillId="9" borderId="25" xfId="0" applyFont="1" applyFill="1" applyBorder="1" applyAlignment="1" applyProtection="1">
      <alignment horizontal="center" vertical="center" wrapText="1"/>
    </xf>
    <xf numFmtId="0" fontId="5" fillId="6" borderId="42" xfId="17" applyFont="1" applyFill="1" applyBorder="1" applyAlignment="1" applyProtection="1">
      <alignment horizontal="center" vertical="center" shrinkToFit="1"/>
      <protection locked="0"/>
    </xf>
    <xf numFmtId="0" fontId="5" fillId="0" borderId="46" xfId="0" applyFont="1" applyFill="1" applyBorder="1" applyAlignment="1" applyProtection="1">
      <alignment horizontal="center" vertical="center"/>
      <protection locked="0"/>
    </xf>
    <xf numFmtId="0" fontId="5" fillId="6" borderId="46" xfId="0" applyFont="1" applyFill="1" applyBorder="1" applyAlignment="1" applyProtection="1">
      <alignment horizontal="center" vertical="center"/>
      <protection locked="0"/>
    </xf>
    <xf numFmtId="0" fontId="5" fillId="6" borderId="84" xfId="0" applyFont="1" applyFill="1" applyBorder="1" applyAlignment="1" applyProtection="1">
      <alignment horizontal="center" vertical="center"/>
      <protection locked="0"/>
    </xf>
    <xf numFmtId="0" fontId="5" fillId="0" borderId="47" xfId="0" applyFont="1" applyFill="1" applyBorder="1" applyAlignment="1" applyProtection="1">
      <alignment horizontal="center" vertical="center"/>
      <protection locked="0"/>
    </xf>
    <xf numFmtId="0" fontId="6" fillId="0" borderId="0" xfId="17" applyBorder="1"/>
    <xf numFmtId="0" fontId="6" fillId="0" borderId="0" xfId="17" applyFill="1" applyBorder="1"/>
    <xf numFmtId="0" fontId="18" fillId="0" borderId="0" xfId="0" applyFont="1" applyFill="1" applyBorder="1" applyAlignment="1" applyProtection="1">
      <alignment vertical="center"/>
    </xf>
    <xf numFmtId="0" fontId="18" fillId="0" borderId="21" xfId="0" applyFont="1" applyFill="1" applyBorder="1" applyAlignment="1" applyProtection="1">
      <alignment vertical="center"/>
    </xf>
    <xf numFmtId="0" fontId="5" fillId="0" borderId="13" xfId="17" applyFont="1" applyFill="1" applyBorder="1" applyAlignment="1" applyProtection="1">
      <alignment vertical="center" shrinkToFit="1"/>
      <protection locked="0"/>
    </xf>
    <xf numFmtId="1" fontId="57" fillId="9" borderId="9" xfId="17" applyNumberFormat="1" applyFont="1" applyFill="1" applyBorder="1" applyAlignment="1" applyProtection="1">
      <alignment horizontal="center" vertical="center" wrapText="1" shrinkToFit="1"/>
    </xf>
    <xf numFmtId="1" fontId="39" fillId="9" borderId="8" xfId="17" applyNumberFormat="1" applyFont="1" applyFill="1" applyBorder="1" applyAlignment="1" applyProtection="1">
      <alignment vertical="center" wrapText="1"/>
      <protection hidden="1"/>
    </xf>
    <xf numFmtId="0" fontId="5" fillId="6" borderId="57" xfId="0" applyFont="1" applyFill="1" applyBorder="1" applyAlignment="1" applyProtection="1">
      <alignment vertical="center" shrinkToFit="1"/>
      <protection locked="0"/>
    </xf>
    <xf numFmtId="0" fontId="5" fillId="8" borderId="58" xfId="0" applyFont="1" applyFill="1" applyBorder="1" applyAlignment="1" applyProtection="1">
      <alignment vertical="center" shrinkToFit="1"/>
      <protection locked="0"/>
    </xf>
    <xf numFmtId="0" fontId="5" fillId="3" borderId="85" xfId="0" applyFont="1" applyFill="1" applyBorder="1" applyAlignment="1" applyProtection="1">
      <alignment vertical="center" shrinkToFit="1"/>
      <protection locked="0"/>
    </xf>
    <xf numFmtId="0" fontId="5" fillId="6" borderId="58" xfId="0" applyFont="1" applyFill="1" applyBorder="1" applyAlignment="1" applyProtection="1">
      <alignment vertical="center" shrinkToFit="1"/>
      <protection locked="0"/>
    </xf>
    <xf numFmtId="0" fontId="5" fillId="3" borderId="58" xfId="0" applyFont="1" applyFill="1" applyBorder="1" applyAlignment="1" applyProtection="1">
      <alignment vertical="center" shrinkToFit="1"/>
      <protection locked="0"/>
    </xf>
    <xf numFmtId="0" fontId="5" fillId="8" borderId="60" xfId="0" applyFont="1" applyFill="1" applyBorder="1" applyAlignment="1" applyProtection="1">
      <alignment vertical="center" shrinkToFit="1"/>
      <protection locked="0"/>
    </xf>
    <xf numFmtId="1" fontId="39" fillId="9" borderId="26" xfId="17" applyNumberFormat="1" applyFont="1" applyFill="1" applyBorder="1" applyAlignment="1" applyProtection="1">
      <alignment vertical="center" wrapText="1"/>
      <protection hidden="1"/>
    </xf>
    <xf numFmtId="0" fontId="5" fillId="6" borderId="48" xfId="0" applyFont="1" applyFill="1" applyBorder="1" applyAlignment="1" applyProtection="1">
      <alignment vertical="center" shrinkToFit="1"/>
      <protection locked="0"/>
    </xf>
    <xf numFmtId="0" fontId="5" fillId="12" borderId="16" xfId="0" applyFont="1" applyFill="1" applyBorder="1" applyAlignment="1" applyProtection="1">
      <alignment vertical="center" shrinkToFit="1"/>
      <protection locked="0"/>
    </xf>
    <xf numFmtId="0" fontId="6" fillId="13" borderId="16" xfId="17" applyFill="1" applyBorder="1" applyAlignment="1">
      <alignment vertical="center"/>
    </xf>
    <xf numFmtId="0" fontId="5" fillId="6" borderId="16" xfId="0" applyFont="1" applyFill="1" applyBorder="1" applyAlignment="1" applyProtection="1">
      <alignment vertical="center" shrinkToFit="1"/>
      <protection locked="0"/>
    </xf>
    <xf numFmtId="0" fontId="5" fillId="3" borderId="16" xfId="0" applyFont="1" applyFill="1" applyBorder="1" applyAlignment="1" applyProtection="1">
      <alignment vertical="center" shrinkToFit="1"/>
      <protection locked="0"/>
    </xf>
    <xf numFmtId="0" fontId="5" fillId="8" borderId="17" xfId="0" applyFont="1" applyFill="1" applyBorder="1" applyAlignment="1" applyProtection="1">
      <alignment vertical="center" shrinkToFit="1"/>
      <protection locked="0"/>
    </xf>
    <xf numFmtId="0" fontId="19" fillId="2" borderId="86" xfId="7" applyFont="1" applyFill="1" applyBorder="1" applyAlignment="1" applyProtection="1">
      <alignment horizontal="center" wrapText="1"/>
      <protection hidden="1"/>
    </xf>
    <xf numFmtId="0" fontId="19" fillId="2" borderId="40" xfId="7" applyFont="1" applyFill="1" applyBorder="1" applyAlignment="1" applyProtection="1">
      <alignment horizontal="center" wrapText="1"/>
      <protection hidden="1"/>
    </xf>
    <xf numFmtId="0" fontId="19" fillId="2" borderId="39" xfId="7" applyFont="1" applyFill="1" applyBorder="1" applyAlignment="1" applyProtection="1">
      <alignment horizontal="center" wrapText="1"/>
      <protection hidden="1"/>
    </xf>
    <xf numFmtId="0" fontId="19" fillId="2" borderId="6" xfId="15" applyFont="1" applyFill="1" applyBorder="1" applyAlignment="1" applyProtection="1">
      <alignment horizontal="center" wrapText="1"/>
      <protection hidden="1"/>
    </xf>
    <xf numFmtId="0" fontId="18" fillId="0" borderId="2" xfId="15" applyFont="1" applyFill="1" applyBorder="1" applyAlignment="1" applyProtection="1">
      <alignment horizontal="center" wrapText="1"/>
      <protection hidden="1"/>
    </xf>
    <xf numFmtId="0" fontId="0" fillId="0" borderId="21" xfId="0" applyBorder="1"/>
    <xf numFmtId="0" fontId="18" fillId="0" borderId="24" xfId="0" applyFont="1" applyBorder="1"/>
    <xf numFmtId="0" fontId="18" fillId="0" borderId="17" xfId="15" applyFont="1" applyFill="1" applyBorder="1" applyAlignment="1" applyProtection="1">
      <alignment horizontal="center" wrapText="1"/>
      <protection hidden="1"/>
    </xf>
    <xf numFmtId="0" fontId="5" fillId="8" borderId="58" xfId="0" applyFont="1" applyFill="1" applyBorder="1" applyAlignment="1" applyProtection="1">
      <alignment horizontal="center" vertical="center" shrinkToFit="1"/>
      <protection locked="0"/>
    </xf>
    <xf numFmtId="0" fontId="5" fillId="6" borderId="58" xfId="0" applyFont="1" applyFill="1" applyBorder="1" applyAlignment="1" applyProtection="1">
      <alignment horizontal="center" vertical="center" shrinkToFit="1"/>
      <protection locked="0"/>
    </xf>
    <xf numFmtId="0" fontId="5" fillId="8" borderId="60" xfId="0" applyFont="1" applyFill="1" applyBorder="1" applyAlignment="1" applyProtection="1">
      <alignment horizontal="center" vertical="center" shrinkToFit="1"/>
      <protection locked="0"/>
    </xf>
    <xf numFmtId="1" fontId="5" fillId="6" borderId="1" xfId="0" applyNumberFormat="1" applyFont="1" applyFill="1" applyBorder="1" applyAlignment="1" applyProtection="1">
      <alignment horizontal="center" vertical="center" shrinkToFit="1"/>
      <protection locked="0"/>
    </xf>
    <xf numFmtId="0" fontId="68" fillId="0" borderId="0" xfId="17" applyFont="1"/>
    <xf numFmtId="0" fontId="39" fillId="9" borderId="8" xfId="0" applyFont="1" applyFill="1" applyBorder="1" applyAlignment="1" applyProtection="1">
      <alignment horizontal="center" vertical="center" wrapText="1"/>
    </xf>
    <xf numFmtId="0" fontId="59" fillId="0" borderId="0" xfId="17" applyFont="1" applyFill="1" applyBorder="1" applyAlignment="1" applyProtection="1">
      <alignment horizontal="center" vertical="center"/>
      <protection hidden="1"/>
    </xf>
    <xf numFmtId="0" fontId="43" fillId="9" borderId="32" xfId="0" applyFont="1" applyFill="1" applyBorder="1" applyProtection="1"/>
    <xf numFmtId="0" fontId="43" fillId="9" borderId="18" xfId="0" applyFont="1" applyFill="1" applyBorder="1" applyProtection="1"/>
    <xf numFmtId="0" fontId="32" fillId="9" borderId="18" xfId="17" applyFont="1" applyFill="1" applyBorder="1" applyAlignment="1" applyProtection="1">
      <alignment horizontal="right"/>
    </xf>
    <xf numFmtId="0" fontId="43" fillId="9" borderId="18" xfId="0" applyFont="1" applyFill="1" applyBorder="1" applyAlignment="1" applyProtection="1">
      <alignment horizontal="left"/>
    </xf>
    <xf numFmtId="165" fontId="41" fillId="9" borderId="18" xfId="17" applyNumberFormat="1" applyFont="1" applyFill="1" applyBorder="1" applyAlignment="1" applyProtection="1">
      <alignment horizontal="center"/>
    </xf>
    <xf numFmtId="0" fontId="18" fillId="0" borderId="0" xfId="0" applyFont="1" applyFill="1" applyBorder="1" applyAlignment="1">
      <alignment vertical="top"/>
    </xf>
    <xf numFmtId="0" fontId="18" fillId="0" borderId="0" xfId="0" applyFont="1" applyFill="1" applyBorder="1" applyAlignment="1">
      <alignment horizontal="center" vertical="top"/>
    </xf>
    <xf numFmtId="0" fontId="5" fillId="6" borderId="58" xfId="0" applyNumberFormat="1" applyFont="1" applyFill="1" applyBorder="1" applyAlignment="1" applyProtection="1">
      <alignment horizontal="center" vertical="center" shrinkToFit="1"/>
      <protection hidden="1"/>
    </xf>
    <xf numFmtId="0" fontId="5" fillId="4" borderId="58"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horizontal="center" vertical="center" shrinkToFit="1"/>
      <protection hidden="1"/>
    </xf>
    <xf numFmtId="0" fontId="5" fillId="4" borderId="60" xfId="0" applyNumberFormat="1" applyFont="1" applyFill="1" applyBorder="1" applyAlignment="1" applyProtection="1">
      <alignment horizontal="center" vertical="center" shrinkToFit="1"/>
      <protection hidden="1"/>
    </xf>
    <xf numFmtId="0" fontId="6" fillId="0" borderId="0" xfId="17" applyNumberFormat="1" applyAlignment="1" applyProtection="1">
      <alignment vertical="center"/>
      <protection hidden="1"/>
    </xf>
    <xf numFmtId="0" fontId="4" fillId="0" borderId="0" xfId="17" applyNumberFormat="1" applyFont="1" applyFill="1" applyBorder="1" applyAlignment="1" applyProtection="1">
      <alignment horizontal="right" vertical="center"/>
      <protection hidden="1"/>
    </xf>
    <xf numFmtId="49" fontId="0" fillId="3" borderId="25" xfId="17" applyNumberFormat="1" applyFont="1" applyFill="1" applyBorder="1" applyAlignment="1" applyProtection="1">
      <alignment vertical="center" shrinkToFit="1"/>
      <protection hidden="1"/>
    </xf>
    <xf numFmtId="0" fontId="4" fillId="0" borderId="0" xfId="0" applyNumberFormat="1" applyFont="1" applyFill="1" applyBorder="1" applyAlignment="1" applyProtection="1">
      <alignment horizontal="right" vertical="center"/>
      <protection hidden="1"/>
    </xf>
    <xf numFmtId="0" fontId="6" fillId="0" borderId="0" xfId="17" applyNumberFormat="1" applyFill="1" applyProtection="1">
      <protection hidden="1"/>
    </xf>
    <xf numFmtId="0" fontId="6" fillId="0" borderId="0" xfId="17" applyNumberFormat="1" applyProtection="1">
      <protection hidden="1"/>
    </xf>
    <xf numFmtId="0" fontId="1" fillId="0" borderId="0" xfId="17" applyNumberFormat="1" applyFont="1" applyProtection="1">
      <protection hidden="1"/>
    </xf>
    <xf numFmtId="0" fontId="6" fillId="0" borderId="0" xfId="17" applyNumberFormat="1" applyFill="1" applyAlignment="1" applyProtection="1">
      <alignment horizontal="right"/>
      <protection hidden="1"/>
    </xf>
    <xf numFmtId="0" fontId="18" fillId="0" borderId="0" xfId="17" applyNumberFormat="1" applyFont="1" applyFill="1" applyProtection="1">
      <protection hidden="1"/>
    </xf>
    <xf numFmtId="0" fontId="0" fillId="0" borderId="0" xfId="0" applyNumberFormat="1" applyFill="1" applyProtection="1">
      <protection hidden="1"/>
    </xf>
    <xf numFmtId="0" fontId="8" fillId="0" borderId="0" xfId="17" applyNumberFormat="1" applyFont="1" applyFill="1" applyAlignment="1" applyProtection="1">
      <alignment horizontal="center"/>
      <protection hidden="1"/>
    </xf>
    <xf numFmtId="0" fontId="4" fillId="0" borderId="0" xfId="0" applyNumberFormat="1" applyFont="1" applyFill="1" applyBorder="1" applyAlignment="1" applyProtection="1">
      <alignment horizontal="right"/>
      <protection hidden="1"/>
    </xf>
    <xf numFmtId="0" fontId="7" fillId="0" borderId="0" xfId="17" applyNumberFormat="1" applyFont="1" applyFill="1" applyProtection="1">
      <protection hidden="1"/>
    </xf>
    <xf numFmtId="0" fontId="6" fillId="0" borderId="0" xfId="17" applyNumberFormat="1" applyFill="1" applyBorder="1" applyAlignment="1" applyProtection="1">
      <protection hidden="1"/>
    </xf>
    <xf numFmtId="0" fontId="8" fillId="0" borderId="0" xfId="17" applyNumberFormat="1" applyFont="1" applyFill="1" applyProtection="1">
      <protection hidden="1"/>
    </xf>
    <xf numFmtId="0" fontId="7" fillId="0" borderId="0" xfId="17" applyNumberFormat="1" applyFont="1" applyFill="1" applyAlignment="1" applyProtection="1">
      <alignment horizontal="right"/>
      <protection hidden="1"/>
    </xf>
    <xf numFmtId="0" fontId="15" fillId="0" borderId="0" xfId="0" applyNumberFormat="1" applyFont="1" applyFill="1" applyBorder="1" applyAlignment="1" applyProtection="1">
      <alignment horizontal="left"/>
      <protection hidden="1"/>
    </xf>
    <xf numFmtId="0" fontId="7" fillId="0" borderId="0" xfId="17" applyNumberFormat="1" applyFont="1" applyFill="1" applyAlignment="1" applyProtection="1">
      <alignment horizontal="left"/>
      <protection hidden="1"/>
    </xf>
    <xf numFmtId="0" fontId="7" fillId="0" borderId="0" xfId="17" applyNumberFormat="1" applyFont="1" applyFill="1" applyAlignment="1" applyProtection="1">
      <alignment horizontal="center"/>
      <protection hidden="1"/>
    </xf>
    <xf numFmtId="0" fontId="8" fillId="0" borderId="0" xfId="17" applyNumberFormat="1" applyFont="1" applyFill="1" applyAlignment="1" applyProtection="1">
      <alignment horizontal="right"/>
      <protection hidden="1"/>
    </xf>
    <xf numFmtId="0" fontId="67" fillId="0" borderId="0" xfId="17" applyNumberFormat="1" applyFont="1" applyFill="1" applyBorder="1" applyAlignment="1" applyProtection="1">
      <alignment horizontal="left"/>
      <protection hidden="1"/>
    </xf>
    <xf numFmtId="0" fontId="9" fillId="0" borderId="0" xfId="17" applyNumberFormat="1" applyFont="1" applyFill="1" applyBorder="1" applyAlignment="1" applyProtection="1">
      <alignment horizontal="center"/>
      <protection hidden="1"/>
    </xf>
    <xf numFmtId="0" fontId="0" fillId="0" borderId="0" xfId="0" applyNumberFormat="1" applyFill="1" applyBorder="1" applyProtection="1">
      <protection hidden="1"/>
    </xf>
    <xf numFmtId="0" fontId="5" fillId="0" borderId="0" xfId="17" applyNumberFormat="1" applyFont="1" applyAlignment="1" applyProtection="1">
      <alignment horizontal="right"/>
      <protection hidden="1"/>
    </xf>
    <xf numFmtId="0" fontId="5" fillId="0" borderId="0" xfId="17" applyNumberFormat="1" applyFont="1" applyProtection="1">
      <protection hidden="1"/>
    </xf>
    <xf numFmtId="0" fontId="6" fillId="0" borderId="0" xfId="17" applyNumberFormat="1" applyFont="1" applyProtection="1">
      <protection hidden="1"/>
    </xf>
    <xf numFmtId="0" fontId="10" fillId="6" borderId="28" xfId="17" applyNumberFormat="1" applyFont="1" applyFill="1" applyBorder="1" applyAlignment="1" applyProtection="1">
      <alignment horizontal="center" vertical="center"/>
      <protection hidden="1"/>
    </xf>
    <xf numFmtId="0" fontId="5" fillId="6" borderId="29" xfId="17" applyNumberFormat="1" applyFont="1" applyFill="1" applyBorder="1" applyAlignment="1" applyProtection="1">
      <alignment horizontal="left" vertical="center" shrinkToFit="1"/>
      <protection hidden="1"/>
    </xf>
    <xf numFmtId="0" fontId="5" fillId="6" borderId="29" xfId="0" applyNumberFormat="1" applyFont="1" applyFill="1" applyBorder="1" applyAlignment="1" applyProtection="1">
      <alignment horizontal="left" vertical="center" shrinkToFit="1"/>
      <protection hidden="1"/>
    </xf>
    <xf numFmtId="0" fontId="5" fillId="6" borderId="29" xfId="0" applyNumberFormat="1" applyFont="1" applyFill="1" applyBorder="1" applyAlignment="1" applyProtection="1">
      <alignment horizontal="center" vertical="center" shrinkToFit="1"/>
      <protection hidden="1"/>
    </xf>
    <xf numFmtId="0" fontId="5" fillId="6" borderId="0" xfId="0" applyNumberFormat="1" applyFont="1" applyFill="1" applyAlignment="1" applyProtection="1">
      <alignment horizontal="center" vertical="center" shrinkToFit="1"/>
      <protection hidden="1"/>
    </xf>
    <xf numFmtId="0" fontId="5" fillId="6" borderId="4" xfId="0" applyNumberFormat="1" applyFont="1" applyFill="1" applyBorder="1" applyAlignment="1" applyProtection="1">
      <alignment horizontal="center" vertical="center" shrinkToFit="1"/>
      <protection hidden="1"/>
    </xf>
    <xf numFmtId="0" fontId="5" fillId="6" borderId="12" xfId="0" applyNumberFormat="1" applyFont="1" applyFill="1" applyBorder="1" applyAlignment="1" applyProtection="1">
      <alignment horizontal="center" vertical="center" shrinkToFit="1"/>
      <protection hidden="1"/>
    </xf>
    <xf numFmtId="0" fontId="5" fillId="6" borderId="57" xfId="0" applyNumberFormat="1" applyFont="1" applyFill="1" applyBorder="1" applyAlignment="1" applyProtection="1">
      <alignment horizontal="center" vertical="center" shrinkToFit="1"/>
      <protection hidden="1"/>
    </xf>
    <xf numFmtId="0" fontId="5" fillId="6" borderId="1" xfId="0" applyNumberFormat="1" applyFont="1" applyFill="1" applyBorder="1" applyAlignment="1" applyProtection="1">
      <alignment horizontal="center" vertical="center" shrinkToFit="1"/>
      <protection hidden="1"/>
    </xf>
    <xf numFmtId="0" fontId="5" fillId="6" borderId="57" xfId="0" applyNumberFormat="1" applyFont="1" applyFill="1" applyBorder="1" applyAlignment="1" applyProtection="1">
      <alignment vertical="center" shrinkToFit="1"/>
      <protection hidden="1"/>
    </xf>
    <xf numFmtId="0" fontId="5" fillId="6" borderId="48" xfId="0" applyNumberFormat="1" applyFont="1" applyFill="1" applyBorder="1" applyAlignment="1" applyProtection="1">
      <alignment vertical="center" shrinkToFit="1"/>
      <protection hidden="1"/>
    </xf>
    <xf numFmtId="0" fontId="27" fillId="6" borderId="30" xfId="17" applyNumberFormat="1" applyFont="1" applyFill="1" applyBorder="1" applyAlignment="1" applyProtection="1">
      <alignment horizontal="center" vertical="center" shrinkToFit="1"/>
      <protection hidden="1"/>
    </xf>
    <xf numFmtId="0" fontId="68" fillId="0" borderId="0" xfId="17" applyNumberFormat="1" applyFont="1" applyAlignment="1" applyProtection="1">
      <alignment vertical="center"/>
      <protection hidden="1"/>
    </xf>
    <xf numFmtId="0" fontId="10" fillId="4" borderId="2" xfId="17" applyNumberFormat="1" applyFont="1" applyFill="1" applyBorder="1" applyAlignment="1" applyProtection="1">
      <alignment horizontal="center" vertical="center"/>
      <protection hidden="1"/>
    </xf>
    <xf numFmtId="0" fontId="5" fillId="4" borderId="1" xfId="17" applyNumberFormat="1" applyFont="1" applyFill="1" applyBorder="1" applyAlignment="1" applyProtection="1">
      <alignment horizontal="left" vertical="center" shrinkToFit="1"/>
      <protection hidden="1"/>
    </xf>
    <xf numFmtId="0" fontId="5" fillId="4" borderId="1" xfId="0" applyNumberFormat="1" applyFont="1" applyFill="1" applyBorder="1" applyAlignment="1" applyProtection="1">
      <alignment horizontal="left" vertical="center" shrinkToFit="1"/>
      <protection hidden="1"/>
    </xf>
    <xf numFmtId="0" fontId="5" fillId="4" borderId="1" xfId="0" applyNumberFormat="1" applyFont="1" applyFill="1" applyBorder="1" applyAlignment="1" applyProtection="1">
      <alignment horizontal="center" vertical="center" shrinkToFit="1"/>
      <protection hidden="1"/>
    </xf>
    <xf numFmtId="0" fontId="5" fillId="4" borderId="15" xfId="0" applyNumberFormat="1" applyFont="1" applyFill="1" applyBorder="1" applyAlignment="1" applyProtection="1">
      <alignment horizontal="center" vertical="center" shrinkToFit="1"/>
      <protection hidden="1"/>
    </xf>
    <xf numFmtId="0" fontId="5" fillId="8" borderId="58" xfId="0" applyNumberFormat="1" applyFont="1" applyFill="1" applyBorder="1" applyAlignment="1" applyProtection="1">
      <alignment horizontal="center" vertical="center" shrinkToFit="1"/>
      <protection hidden="1"/>
    </xf>
    <xf numFmtId="0" fontId="5" fillId="8" borderId="1" xfId="0" applyNumberFormat="1" applyFont="1" applyFill="1" applyBorder="1" applyAlignment="1" applyProtection="1">
      <alignment horizontal="center" vertical="center" shrinkToFit="1"/>
      <protection hidden="1"/>
    </xf>
    <xf numFmtId="0" fontId="5" fillId="8" borderId="58" xfId="0" applyNumberFormat="1" applyFont="1" applyFill="1" applyBorder="1" applyAlignment="1" applyProtection="1">
      <alignment vertical="center" shrinkToFit="1"/>
      <protection hidden="1"/>
    </xf>
    <xf numFmtId="0" fontId="5" fillId="12" borderId="16" xfId="0" applyNumberFormat="1" applyFont="1" applyFill="1" applyBorder="1" applyAlignment="1" applyProtection="1">
      <alignment vertical="center" shrinkToFit="1"/>
      <protection hidden="1"/>
    </xf>
    <xf numFmtId="0" fontId="27" fillId="4" borderId="10" xfId="17" applyNumberFormat="1" applyFont="1" applyFill="1" applyBorder="1" applyAlignment="1" applyProtection="1">
      <alignment horizontal="center" vertical="center" shrinkToFit="1"/>
      <protection hidden="1"/>
    </xf>
    <xf numFmtId="0" fontId="10" fillId="3" borderId="2" xfId="17" applyNumberFormat="1" applyFont="1" applyFill="1" applyBorder="1" applyAlignment="1" applyProtection="1">
      <alignment horizontal="center" vertical="center"/>
      <protection hidden="1"/>
    </xf>
    <xf numFmtId="0" fontId="5" fillId="3" borderId="1" xfId="17" applyNumberFormat="1" applyFont="1" applyFill="1" applyBorder="1" applyAlignment="1" applyProtection="1">
      <alignment horizontal="left" vertical="center" shrinkToFit="1"/>
      <protection hidden="1"/>
    </xf>
    <xf numFmtId="0" fontId="5" fillId="3" borderId="1" xfId="0" applyNumberFormat="1" applyFont="1" applyFill="1" applyBorder="1" applyAlignment="1" applyProtection="1">
      <alignment horizontal="left" vertical="center" shrinkToFit="1"/>
      <protection hidden="1"/>
    </xf>
    <xf numFmtId="0" fontId="5" fillId="5" borderId="1" xfId="0" applyNumberFormat="1" applyFont="1" applyFill="1" applyBorder="1" applyAlignment="1" applyProtection="1">
      <alignment horizontal="center" vertical="center" shrinkToFit="1"/>
      <protection hidden="1"/>
    </xf>
    <xf numFmtId="0" fontId="5" fillId="5" borderId="15" xfId="0" applyNumberFormat="1" applyFont="1" applyFill="1" applyBorder="1" applyAlignment="1" applyProtection="1">
      <alignment horizontal="center" vertical="center" shrinkToFit="1"/>
      <protection hidden="1"/>
    </xf>
    <xf numFmtId="0" fontId="5" fillId="5" borderId="58" xfId="0" applyNumberFormat="1" applyFont="1" applyFill="1" applyBorder="1" applyAlignment="1" applyProtection="1">
      <alignment horizontal="center" vertical="center" shrinkToFit="1"/>
      <protection hidden="1"/>
    </xf>
    <xf numFmtId="0" fontId="5" fillId="3" borderId="58" xfId="17" applyNumberFormat="1" applyFont="1" applyFill="1" applyBorder="1" applyAlignment="1" applyProtection="1">
      <alignment horizontal="center" vertical="center" shrinkToFit="1"/>
      <protection hidden="1"/>
    </xf>
    <xf numFmtId="0" fontId="5" fillId="3" borderId="1" xfId="17" applyNumberFormat="1" applyFont="1" applyFill="1" applyBorder="1" applyAlignment="1" applyProtection="1">
      <alignment horizontal="center" vertical="center" shrinkToFit="1"/>
      <protection hidden="1"/>
    </xf>
    <xf numFmtId="0" fontId="5" fillId="3" borderId="49" xfId="0" applyNumberFormat="1" applyFont="1" applyFill="1" applyBorder="1" applyAlignment="1" applyProtection="1">
      <alignment horizontal="center" vertical="center" shrinkToFit="1"/>
      <protection hidden="1"/>
    </xf>
    <xf numFmtId="0" fontId="5" fillId="3" borderId="0" xfId="0" applyNumberFormat="1" applyFont="1" applyFill="1" applyBorder="1" applyAlignment="1" applyProtection="1">
      <alignment horizontal="center" vertical="center" shrinkToFit="1"/>
      <protection hidden="1"/>
    </xf>
    <xf numFmtId="0" fontId="5" fillId="3" borderId="85" xfId="0" applyNumberFormat="1" applyFont="1" applyFill="1" applyBorder="1" applyAlignment="1" applyProtection="1">
      <alignment vertical="center" shrinkToFit="1"/>
      <protection hidden="1"/>
    </xf>
    <xf numFmtId="0" fontId="6" fillId="13" borderId="16" xfId="17" applyNumberFormat="1" applyFill="1" applyBorder="1" applyAlignment="1" applyProtection="1">
      <alignment vertical="center"/>
      <protection hidden="1"/>
    </xf>
    <xf numFmtId="0" fontId="27" fillId="3" borderId="10" xfId="17" applyNumberFormat="1" applyFont="1" applyFill="1" applyBorder="1" applyAlignment="1" applyProtection="1">
      <alignment horizontal="center" vertical="center" shrinkToFit="1"/>
      <protection hidden="1"/>
    </xf>
    <xf numFmtId="0" fontId="10" fillId="6" borderId="44" xfId="17" applyNumberFormat="1" applyFont="1" applyFill="1" applyBorder="1" applyAlignment="1" applyProtection="1">
      <alignment horizontal="center" vertical="center"/>
      <protection hidden="1"/>
    </xf>
    <xf numFmtId="0" fontId="5" fillId="6" borderId="15" xfId="17" applyNumberFormat="1" applyFont="1" applyFill="1" applyBorder="1" applyAlignment="1" applyProtection="1">
      <alignment horizontal="left" vertical="center" shrinkToFit="1"/>
      <protection hidden="1"/>
    </xf>
    <xf numFmtId="0" fontId="5" fillId="6" borderId="15" xfId="0" applyNumberFormat="1" applyFont="1" applyFill="1" applyBorder="1" applyAlignment="1" applyProtection="1">
      <alignment horizontal="left" vertical="center" shrinkToFit="1"/>
      <protection hidden="1"/>
    </xf>
    <xf numFmtId="0" fontId="5" fillId="6" borderId="15" xfId="0" applyNumberFormat="1" applyFont="1" applyFill="1" applyBorder="1" applyAlignment="1" applyProtection="1">
      <alignment horizontal="center" vertical="center" shrinkToFit="1"/>
      <protection hidden="1"/>
    </xf>
    <xf numFmtId="0" fontId="5" fillId="6" borderId="58" xfId="0" applyNumberFormat="1" applyFont="1" applyFill="1" applyBorder="1" applyAlignment="1" applyProtection="1">
      <alignment vertical="center" shrinkToFit="1"/>
      <protection hidden="1"/>
    </xf>
    <xf numFmtId="0" fontId="5" fillId="6" borderId="16" xfId="0" applyNumberFormat="1" applyFont="1" applyFill="1" applyBorder="1" applyAlignment="1" applyProtection="1">
      <alignment vertical="center" shrinkToFit="1"/>
      <protection hidden="1"/>
    </xf>
    <xf numFmtId="0" fontId="27" fillId="6" borderId="45" xfId="17" applyNumberFormat="1" applyFont="1" applyFill="1" applyBorder="1" applyAlignment="1" applyProtection="1">
      <alignment horizontal="center" vertical="center" shrinkToFit="1"/>
      <protection hidden="1"/>
    </xf>
    <xf numFmtId="0" fontId="5" fillId="3" borderId="1"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vertical="center" shrinkToFit="1"/>
      <protection hidden="1"/>
    </xf>
    <xf numFmtId="0" fontId="5" fillId="3" borderId="16" xfId="0" applyNumberFormat="1" applyFont="1" applyFill="1" applyBorder="1" applyAlignment="1" applyProtection="1">
      <alignment vertical="center" shrinkToFit="1"/>
      <protection hidden="1"/>
    </xf>
    <xf numFmtId="0" fontId="10" fillId="4" borderId="3" xfId="17" applyNumberFormat="1" applyFont="1" applyFill="1" applyBorder="1" applyAlignment="1" applyProtection="1">
      <alignment horizontal="center" vertical="center"/>
      <protection hidden="1"/>
    </xf>
    <xf numFmtId="0" fontId="5" fillId="4" borderId="13" xfId="17" applyNumberFormat="1" applyFont="1" applyFill="1" applyBorder="1" applyAlignment="1" applyProtection="1">
      <alignment horizontal="left" vertical="center" shrinkToFit="1"/>
      <protection hidden="1"/>
    </xf>
    <xf numFmtId="0" fontId="5" fillId="4" borderId="13" xfId="0" applyNumberFormat="1" applyFont="1" applyFill="1" applyBorder="1" applyAlignment="1" applyProtection="1">
      <alignment horizontal="left" vertical="center" shrinkToFit="1"/>
      <protection hidden="1"/>
    </xf>
    <xf numFmtId="0" fontId="5" fillId="4" borderId="13"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horizontal="center" vertical="center" shrinkToFit="1"/>
      <protection hidden="1"/>
    </xf>
    <xf numFmtId="0" fontId="5" fillId="8" borderId="13"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vertical="center" shrinkToFit="1"/>
      <protection hidden="1"/>
    </xf>
    <xf numFmtId="0" fontId="5" fillId="8" borderId="17" xfId="0" applyNumberFormat="1" applyFont="1" applyFill="1" applyBorder="1" applyAlignment="1" applyProtection="1">
      <alignment vertical="center" shrinkToFit="1"/>
      <protection hidden="1"/>
    </xf>
    <xf numFmtId="0" fontId="27" fillId="4" borderId="11" xfId="17" applyNumberFormat="1" applyFont="1" applyFill="1" applyBorder="1" applyAlignment="1" applyProtection="1">
      <alignment horizontal="center" vertical="center" shrinkToFit="1"/>
      <protection hidden="1"/>
    </xf>
    <xf numFmtId="0" fontId="23" fillId="3" borderId="14" xfId="0" applyNumberFormat="1" applyFont="1" applyFill="1" applyBorder="1" applyAlignment="1" applyProtection="1">
      <alignment horizontal="center"/>
      <protection hidden="1"/>
    </xf>
    <xf numFmtId="0" fontId="23" fillId="3" borderId="14" xfId="0" applyNumberFormat="1" applyFont="1" applyFill="1" applyBorder="1" applyAlignment="1" applyProtection="1">
      <alignment horizontal="center" shrinkToFit="1"/>
      <protection hidden="1"/>
    </xf>
    <xf numFmtId="0" fontId="0" fillId="0" borderId="0" xfId="0" applyNumberFormat="1" applyProtection="1">
      <protection hidden="1"/>
    </xf>
    <xf numFmtId="0" fontId="23" fillId="3" borderId="25" xfId="0" applyNumberFormat="1" applyFont="1" applyFill="1" applyBorder="1" applyAlignment="1" applyProtection="1">
      <alignment horizontal="center"/>
      <protection hidden="1"/>
    </xf>
    <xf numFmtId="0" fontId="23" fillId="3" borderId="31" xfId="0" applyNumberFormat="1" applyFont="1" applyFill="1" applyBorder="1" applyAlignment="1" applyProtection="1">
      <protection hidden="1"/>
    </xf>
    <xf numFmtId="0" fontId="3" fillId="0" borderId="0" xfId="17" applyNumberFormat="1" applyFont="1" applyFill="1" applyBorder="1" applyAlignment="1" applyProtection="1">
      <alignment horizontal="center"/>
      <protection hidden="1"/>
    </xf>
    <xf numFmtId="0" fontId="6" fillId="0" borderId="0" xfId="17" applyNumberFormat="1" applyFill="1" applyBorder="1" applyAlignment="1" applyProtection="1">
      <alignment horizontal="center" vertical="center" wrapText="1"/>
      <protection hidden="1"/>
    </xf>
    <xf numFmtId="0" fontId="9" fillId="0" borderId="0" xfId="17" applyNumberFormat="1" applyFont="1" applyFill="1" applyBorder="1" applyAlignment="1" applyProtection="1">
      <alignment horizontal="right"/>
      <protection hidden="1"/>
    </xf>
    <xf numFmtId="0" fontId="14" fillId="0" borderId="0" xfId="0" applyNumberFormat="1" applyFont="1" applyFill="1" applyBorder="1" applyProtection="1">
      <protection hidden="1"/>
    </xf>
    <xf numFmtId="0" fontId="6" fillId="0" borderId="0" xfId="17" applyNumberFormat="1" applyFill="1" applyBorder="1" applyAlignment="1" applyProtection="1">
      <alignment horizontal="center" vertical="center"/>
      <protection hidden="1"/>
    </xf>
    <xf numFmtId="0" fontId="5" fillId="0" borderId="0" xfId="17" applyNumberFormat="1" applyFont="1" applyFill="1" applyBorder="1" applyProtection="1">
      <protection hidden="1"/>
    </xf>
    <xf numFmtId="0" fontId="5" fillId="0" borderId="0" xfId="0" applyNumberFormat="1" applyFont="1" applyFill="1" applyProtection="1">
      <protection hidden="1"/>
    </xf>
    <xf numFmtId="0" fontId="23" fillId="6" borderId="28" xfId="17" applyNumberFormat="1" applyFont="1" applyFill="1" applyBorder="1" applyAlignment="1" applyProtection="1">
      <alignment horizontal="center" vertical="center"/>
      <protection hidden="1"/>
    </xf>
    <xf numFmtId="0" fontId="5" fillId="6" borderId="57" xfId="17" applyNumberFormat="1" applyFont="1" applyFill="1" applyBorder="1" applyAlignment="1" applyProtection="1">
      <alignment horizontal="center" vertical="center" shrinkToFit="1"/>
      <protection hidden="1"/>
    </xf>
    <xf numFmtId="0" fontId="5" fillId="6" borderId="53" xfId="17" applyNumberFormat="1" applyFont="1" applyFill="1" applyBorder="1" applyAlignment="1" applyProtection="1">
      <alignment horizontal="left" vertical="center" shrinkToFit="1"/>
      <protection hidden="1"/>
    </xf>
    <xf numFmtId="0" fontId="5" fillId="6" borderId="53" xfId="17" applyNumberFormat="1" applyFont="1" applyFill="1" applyBorder="1" applyAlignment="1" applyProtection="1">
      <alignment horizontal="center" vertical="center" shrinkToFit="1"/>
      <protection hidden="1"/>
    </xf>
    <xf numFmtId="0" fontId="5" fillId="6" borderId="42" xfId="17" applyNumberFormat="1" applyFont="1" applyFill="1" applyBorder="1" applyAlignment="1" applyProtection="1">
      <alignment horizontal="center" vertical="center" shrinkToFit="1"/>
      <protection hidden="1"/>
    </xf>
    <xf numFmtId="0" fontId="68" fillId="0" borderId="0" xfId="17" applyNumberFormat="1" applyFont="1" applyProtection="1">
      <protection hidden="1"/>
    </xf>
    <xf numFmtId="0" fontId="23" fillId="4" borderId="2" xfId="17" applyNumberFormat="1" applyFont="1" applyFill="1" applyBorder="1" applyAlignment="1" applyProtection="1">
      <alignment horizontal="center" vertical="center"/>
      <protection hidden="1"/>
    </xf>
    <xf numFmtId="0" fontId="5" fillId="4" borderId="58" xfId="17" applyNumberFormat="1" applyFont="1" applyFill="1" applyBorder="1" applyAlignment="1" applyProtection="1">
      <alignment horizontal="center" vertical="center" shrinkToFit="1"/>
      <protection hidden="1"/>
    </xf>
    <xf numFmtId="0" fontId="5" fillId="4" borderId="49" xfId="17" applyNumberFormat="1" applyFont="1" applyFill="1" applyBorder="1" applyAlignment="1" applyProtection="1">
      <alignment horizontal="left" vertical="center" shrinkToFit="1"/>
      <protection hidden="1"/>
    </xf>
    <xf numFmtId="0" fontId="5" fillId="0" borderId="46" xfId="0" applyNumberFormat="1" applyFont="1" applyFill="1" applyBorder="1" applyAlignment="1" applyProtection="1">
      <alignment horizontal="center" vertical="center"/>
      <protection hidden="1"/>
    </xf>
    <xf numFmtId="0" fontId="23" fillId="3" borderId="2" xfId="17" applyNumberFormat="1" applyFont="1" applyFill="1" applyBorder="1" applyAlignment="1" applyProtection="1">
      <alignment horizontal="center" vertical="center"/>
      <protection hidden="1"/>
    </xf>
    <xf numFmtId="0" fontId="5" fillId="3" borderId="49" xfId="17" applyNumberFormat="1" applyFont="1" applyFill="1" applyBorder="1" applyAlignment="1" applyProtection="1">
      <alignment horizontal="left" vertical="center" shrinkToFit="1"/>
      <protection hidden="1"/>
    </xf>
    <xf numFmtId="0" fontId="5" fillId="3" borderId="46" xfId="0" applyNumberFormat="1" applyFont="1" applyFill="1" applyBorder="1" applyAlignment="1" applyProtection="1">
      <alignment horizontal="center" vertical="center" shrinkToFit="1"/>
      <protection hidden="1"/>
    </xf>
    <xf numFmtId="0" fontId="23" fillId="6" borderId="44" xfId="17" applyNumberFormat="1" applyFont="1" applyFill="1" applyBorder="1" applyAlignment="1" applyProtection="1">
      <alignment horizontal="center" vertical="center"/>
      <protection hidden="1"/>
    </xf>
    <xf numFmtId="0" fontId="5" fillId="6" borderId="59" xfId="17" applyNumberFormat="1" applyFont="1" applyFill="1" applyBorder="1" applyAlignment="1" applyProtection="1">
      <alignment horizontal="center" vertical="center" shrinkToFit="1"/>
      <protection hidden="1"/>
    </xf>
    <xf numFmtId="0" fontId="5" fillId="6" borderId="59" xfId="0" applyNumberFormat="1" applyFont="1" applyFill="1" applyBorder="1" applyAlignment="1" applyProtection="1">
      <alignment horizontal="center" vertical="center" shrinkToFit="1"/>
      <protection hidden="1"/>
    </xf>
    <xf numFmtId="0" fontId="5" fillId="6" borderId="46" xfId="0" applyNumberFormat="1" applyFont="1" applyFill="1" applyBorder="1" applyAlignment="1" applyProtection="1">
      <alignment horizontal="center" vertical="center"/>
      <protection hidden="1"/>
    </xf>
    <xf numFmtId="0" fontId="5" fillId="6" borderId="84" xfId="0" applyNumberFormat="1" applyFont="1" applyFill="1" applyBorder="1" applyAlignment="1" applyProtection="1">
      <alignment horizontal="center" vertical="center"/>
      <protection hidden="1"/>
    </xf>
    <xf numFmtId="0" fontId="23" fillId="4" borderId="1" xfId="17" applyNumberFormat="1" applyFont="1" applyFill="1" applyBorder="1" applyAlignment="1" applyProtection="1">
      <alignment horizontal="center" vertical="center"/>
      <protection hidden="1"/>
    </xf>
    <xf numFmtId="0" fontId="23" fillId="0" borderId="3" xfId="17" applyNumberFormat="1" applyFont="1" applyFill="1" applyBorder="1" applyAlignment="1" applyProtection="1">
      <alignment horizontal="center" vertical="center"/>
      <protection hidden="1"/>
    </xf>
    <xf numFmtId="0" fontId="5" fillId="0" borderId="15" xfId="17" applyNumberFormat="1" applyFont="1" applyFill="1" applyBorder="1" applyAlignment="1" applyProtection="1">
      <alignment horizontal="left" vertical="center" shrinkToFit="1"/>
      <protection hidden="1"/>
    </xf>
    <xf numFmtId="0" fontId="5" fillId="0" borderId="59" xfId="17" applyNumberFormat="1" applyFont="1" applyFill="1" applyBorder="1" applyAlignment="1" applyProtection="1">
      <alignment horizontal="center" vertical="center" shrinkToFit="1"/>
      <protection hidden="1"/>
    </xf>
    <xf numFmtId="0" fontId="5" fillId="0" borderId="54" xfId="17" applyNumberFormat="1" applyFont="1" applyFill="1" applyBorder="1" applyAlignment="1" applyProtection="1">
      <alignment horizontal="left" vertical="center" shrinkToFit="1"/>
      <protection hidden="1"/>
    </xf>
    <xf numFmtId="0" fontId="5" fillId="0" borderId="13" xfId="17" applyNumberFormat="1" applyFont="1" applyFill="1" applyBorder="1" applyAlignment="1" applyProtection="1">
      <alignment vertical="center" shrinkToFit="1"/>
      <protection hidden="1"/>
    </xf>
    <xf numFmtId="0" fontId="5" fillId="0" borderId="13" xfId="0" applyNumberFormat="1" applyFont="1" applyFill="1" applyBorder="1" applyAlignment="1" applyProtection="1">
      <alignment horizontal="center" vertical="center" shrinkToFit="1"/>
      <protection hidden="1"/>
    </xf>
    <xf numFmtId="0" fontId="5" fillId="0" borderId="60" xfId="0" applyNumberFormat="1" applyFont="1" applyFill="1" applyBorder="1" applyAlignment="1" applyProtection="1">
      <alignment horizontal="center" vertical="center" shrinkToFit="1"/>
      <protection hidden="1"/>
    </xf>
    <xf numFmtId="0" fontId="5" fillId="0" borderId="47" xfId="0" applyNumberFormat="1" applyFont="1" applyFill="1" applyBorder="1" applyAlignment="1" applyProtection="1">
      <alignment horizontal="center" vertical="center"/>
      <protection hidden="1"/>
    </xf>
    <xf numFmtId="0" fontId="5" fillId="0" borderId="18" xfId="17" applyNumberFormat="1" applyFont="1" applyFill="1" applyBorder="1" applyAlignment="1" applyProtection="1">
      <alignment horizontal="left"/>
      <protection hidden="1"/>
    </xf>
    <xf numFmtId="0" fontId="5" fillId="0" borderId="18" xfId="17" applyNumberFormat="1" applyFont="1" applyFill="1" applyBorder="1" applyProtection="1">
      <protection hidden="1"/>
    </xf>
    <xf numFmtId="0" fontId="5" fillId="0" borderId="0" xfId="17" applyNumberFormat="1" applyFont="1" applyFill="1" applyBorder="1" applyAlignment="1" applyProtection="1">
      <alignment horizontal="left"/>
      <protection hidden="1"/>
    </xf>
    <xf numFmtId="0" fontId="6" fillId="0" borderId="0" xfId="17" applyNumberFormat="1" applyBorder="1" applyProtection="1">
      <protection hidden="1"/>
    </xf>
    <xf numFmtId="0" fontId="0" fillId="0" borderId="0" xfId="0" applyNumberFormat="1" applyBorder="1" applyProtection="1">
      <protection hidden="1"/>
    </xf>
    <xf numFmtId="0" fontId="5" fillId="6" borderId="30" xfId="0" applyNumberFormat="1" applyFont="1" applyFill="1" applyBorder="1" applyAlignment="1" applyProtection="1">
      <alignment horizontal="center" vertical="center"/>
      <protection hidden="1"/>
    </xf>
    <xf numFmtId="0" fontId="5" fillId="6" borderId="29" xfId="17" applyNumberFormat="1" applyFont="1" applyFill="1" applyBorder="1" applyAlignment="1" applyProtection="1">
      <alignment horizontal="center" vertical="center" shrinkToFit="1"/>
      <protection hidden="1"/>
    </xf>
    <xf numFmtId="0" fontId="5" fillId="6" borderId="30" xfId="17" applyNumberFormat="1" applyFont="1" applyFill="1" applyBorder="1" applyAlignment="1" applyProtection="1">
      <alignment horizontal="center" vertical="center" shrinkToFit="1"/>
      <protection hidden="1"/>
    </xf>
    <xf numFmtId="0" fontId="5" fillId="0" borderId="49" xfId="0" applyNumberFormat="1" applyFont="1" applyFill="1" applyBorder="1" applyAlignment="1" applyProtection="1">
      <alignment horizontal="center" vertical="center"/>
      <protection hidden="1"/>
    </xf>
    <xf numFmtId="0" fontId="5" fillId="0" borderId="10" xfId="0" applyNumberFormat="1" applyFont="1" applyFill="1" applyBorder="1" applyAlignment="1" applyProtection="1">
      <alignment horizontal="center" vertical="center"/>
      <protection hidden="1"/>
    </xf>
    <xf numFmtId="0" fontId="5" fillId="4" borderId="1" xfId="17" applyNumberFormat="1" applyFont="1" applyFill="1" applyBorder="1" applyAlignment="1" applyProtection="1">
      <alignment horizontal="center" vertical="center" shrinkToFit="1"/>
      <protection hidden="1"/>
    </xf>
    <xf numFmtId="0" fontId="5" fillId="4" borderId="10" xfId="17" applyNumberFormat="1" applyFont="1" applyFill="1" applyBorder="1" applyAlignment="1" applyProtection="1">
      <alignment horizontal="center" vertical="center" shrinkToFit="1"/>
      <protection hidden="1"/>
    </xf>
    <xf numFmtId="0" fontId="5" fillId="3" borderId="10" xfId="0" applyNumberFormat="1" applyFont="1" applyFill="1" applyBorder="1" applyAlignment="1" applyProtection="1">
      <alignment horizontal="center" vertical="center" shrinkToFit="1"/>
      <protection hidden="1"/>
    </xf>
    <xf numFmtId="0" fontId="5" fillId="3" borderId="10" xfId="17" applyNumberFormat="1" applyFont="1" applyFill="1" applyBorder="1" applyAlignment="1" applyProtection="1">
      <alignment horizontal="center" vertical="center" shrinkToFit="1"/>
      <protection hidden="1"/>
    </xf>
    <xf numFmtId="0" fontId="5" fillId="6" borderId="49" xfId="0" applyNumberFormat="1" applyFont="1" applyFill="1" applyBorder="1" applyAlignment="1" applyProtection="1">
      <alignment horizontal="center" vertical="center"/>
      <protection hidden="1"/>
    </xf>
    <xf numFmtId="0" fontId="5" fillId="6" borderId="45" xfId="0" applyNumberFormat="1" applyFont="1" applyFill="1" applyBorder="1" applyAlignment="1" applyProtection="1">
      <alignment horizontal="center" vertical="center"/>
      <protection hidden="1"/>
    </xf>
    <xf numFmtId="0" fontId="5" fillId="6" borderId="50" xfId="17" applyNumberFormat="1" applyFont="1" applyFill="1" applyBorder="1" applyAlignment="1" applyProtection="1">
      <alignment horizontal="left" vertical="center" shrinkToFit="1"/>
      <protection hidden="1"/>
    </xf>
    <xf numFmtId="0" fontId="5" fillId="6" borderId="15" xfId="17" applyNumberFormat="1" applyFont="1" applyFill="1" applyBorder="1" applyAlignment="1" applyProtection="1">
      <alignment horizontal="center" vertical="center" shrinkToFit="1"/>
      <protection hidden="1"/>
    </xf>
    <xf numFmtId="0" fontId="5" fillId="6" borderId="1" xfId="17" applyNumberFormat="1" applyFont="1" applyFill="1" applyBorder="1" applyAlignment="1" applyProtection="1">
      <alignment horizontal="center" vertical="center" shrinkToFit="1"/>
      <protection hidden="1"/>
    </xf>
    <xf numFmtId="0" fontId="5" fillId="6" borderId="45" xfId="17" applyNumberFormat="1" applyFont="1" applyFill="1" applyBorder="1" applyAlignment="1" applyProtection="1">
      <alignment horizontal="center" vertical="center" shrinkToFit="1"/>
      <protection hidden="1"/>
    </xf>
    <xf numFmtId="0" fontId="18" fillId="0" borderId="0" xfId="0" applyNumberFormat="1" applyFont="1" applyFill="1" applyBorder="1" applyAlignment="1" applyProtection="1">
      <alignment horizontal="center" vertical="top"/>
      <protection hidden="1"/>
    </xf>
    <xf numFmtId="0" fontId="18" fillId="0" borderId="0" xfId="17" applyNumberFormat="1" applyFont="1" applyProtection="1">
      <protection hidden="1"/>
    </xf>
    <xf numFmtId="0" fontId="18" fillId="0" borderId="0" xfId="0" applyNumberFormat="1" applyFont="1" applyAlignment="1" applyProtection="1">
      <alignment vertical="top" wrapText="1"/>
      <protection hidden="1"/>
    </xf>
    <xf numFmtId="0" fontId="18" fillId="0" borderId="0" xfId="0" applyNumberFormat="1" applyFont="1" applyProtection="1">
      <protection hidden="1"/>
    </xf>
    <xf numFmtId="0" fontId="18" fillId="0" borderId="0" xfId="0" applyNumberFormat="1" applyFont="1" applyFill="1" applyBorder="1" applyAlignment="1" applyProtection="1">
      <alignment vertical="top"/>
      <protection hidden="1"/>
    </xf>
    <xf numFmtId="0" fontId="22" fillId="0" borderId="0" xfId="0" applyNumberFormat="1" applyFont="1" applyProtection="1">
      <protection hidden="1"/>
    </xf>
    <xf numFmtId="0" fontId="22" fillId="0" borderId="0" xfId="17" applyNumberFormat="1" applyFont="1" applyProtection="1">
      <protection hidden="1"/>
    </xf>
    <xf numFmtId="0" fontId="5" fillId="6" borderId="50" xfId="0" applyNumberFormat="1" applyFont="1" applyFill="1" applyBorder="1" applyAlignment="1" applyProtection="1">
      <alignment horizontal="center" vertical="center"/>
      <protection hidden="1"/>
    </xf>
    <xf numFmtId="0" fontId="5" fillId="0" borderId="54" xfId="0" applyNumberFormat="1" applyFont="1" applyFill="1" applyBorder="1" applyAlignment="1" applyProtection="1">
      <alignment horizontal="center" vertical="center"/>
      <protection hidden="1"/>
    </xf>
    <xf numFmtId="0" fontId="5" fillId="0" borderId="11" xfId="0" applyNumberFormat="1" applyFont="1" applyFill="1" applyBorder="1" applyAlignment="1" applyProtection="1">
      <alignment horizontal="center" vertical="center"/>
      <protection hidden="1"/>
    </xf>
    <xf numFmtId="0" fontId="5" fillId="0" borderId="13" xfId="17" applyNumberFormat="1" applyFont="1" applyFill="1" applyBorder="1" applyAlignment="1" applyProtection="1">
      <alignment horizontal="center" vertical="center" shrinkToFit="1"/>
      <protection hidden="1"/>
    </xf>
    <xf numFmtId="0" fontId="5" fillId="0" borderId="11" xfId="17" applyNumberFormat="1" applyFont="1" applyFill="1" applyBorder="1" applyAlignment="1" applyProtection="1">
      <alignment horizontal="center" vertical="center" shrinkToFit="1"/>
      <protection hidden="1"/>
    </xf>
    <xf numFmtId="0" fontId="25" fillId="0" borderId="0" xfId="17" applyNumberFormat="1" applyFont="1" applyFill="1" applyProtection="1">
      <protection hidden="1"/>
    </xf>
    <xf numFmtId="0" fontId="53" fillId="0" borderId="0" xfId="0" applyNumberFormat="1" applyFont="1" applyFill="1" applyBorder="1" applyAlignment="1" applyProtection="1">
      <alignment horizontal="center" vertical="top" wrapText="1"/>
      <protection hidden="1"/>
    </xf>
    <xf numFmtId="0" fontId="26" fillId="0" borderId="0" xfId="17" applyNumberFormat="1" applyFont="1" applyFill="1" applyProtection="1">
      <protection hidden="1"/>
    </xf>
    <xf numFmtId="0" fontId="5" fillId="0" borderId="0" xfId="17" applyNumberFormat="1" applyFont="1" applyFill="1" applyBorder="1" applyAlignment="1" applyProtection="1">
      <alignment horizontal="left" vertical="top" wrapText="1"/>
      <protection hidden="1"/>
    </xf>
    <xf numFmtId="0" fontId="5" fillId="0" borderId="21" xfId="17" applyNumberFormat="1" applyFont="1" applyFill="1" applyBorder="1" applyAlignment="1" applyProtection="1">
      <alignment horizontal="left" vertical="top" wrapText="1"/>
      <protection hidden="1"/>
    </xf>
    <xf numFmtId="0" fontId="18" fillId="0" borderId="0" xfId="17" applyNumberFormat="1" applyFont="1" applyFill="1" applyBorder="1" applyProtection="1">
      <protection hidden="1"/>
    </xf>
    <xf numFmtId="0" fontId="5" fillId="0" borderId="24" xfId="17" applyNumberFormat="1" applyFont="1" applyFill="1" applyBorder="1" applyAlignment="1" applyProtection="1">
      <alignment horizontal="left" vertical="top" wrapText="1"/>
      <protection hidden="1"/>
    </xf>
    <xf numFmtId="0" fontId="5" fillId="0" borderId="41" xfId="17" applyNumberFormat="1" applyFont="1" applyFill="1" applyBorder="1" applyAlignment="1" applyProtection="1">
      <alignment horizontal="left" vertical="top" wrapText="1"/>
      <protection hidden="1"/>
    </xf>
    <xf numFmtId="0" fontId="39" fillId="14" borderId="5" xfId="17" applyNumberFormat="1" applyFont="1" applyFill="1" applyBorder="1" applyAlignment="1" applyProtection="1">
      <alignment horizontal="center" vertical="center"/>
      <protection hidden="1"/>
    </xf>
    <xf numFmtId="0" fontId="39" fillId="14" borderId="7" xfId="17" applyNumberFormat="1" applyFont="1" applyFill="1" applyBorder="1" applyAlignment="1" applyProtection="1">
      <alignment horizontal="center" vertical="center"/>
      <protection hidden="1"/>
    </xf>
    <xf numFmtId="0" fontId="39" fillId="14" borderId="7" xfId="17" applyNumberFormat="1" applyFont="1" applyFill="1" applyBorder="1" applyAlignment="1" applyProtection="1">
      <alignment horizontal="center" vertical="center" wrapText="1"/>
      <protection hidden="1"/>
    </xf>
    <xf numFmtId="0" fontId="39" fillId="14" borderId="7" xfId="0" applyNumberFormat="1" applyFont="1" applyFill="1" applyBorder="1" applyAlignment="1" applyProtection="1">
      <alignment horizontal="center" vertical="center"/>
      <protection hidden="1"/>
    </xf>
    <xf numFmtId="0" fontId="39" fillId="14" borderId="7" xfId="0" applyNumberFormat="1" applyFont="1" applyFill="1" applyBorder="1" applyAlignment="1" applyProtection="1">
      <alignment horizontal="center" vertical="center" wrapText="1"/>
      <protection hidden="1"/>
    </xf>
    <xf numFmtId="0" fontId="39" fillId="14" borderId="8" xfId="17" applyNumberFormat="1" applyFont="1" applyFill="1" applyBorder="1" applyAlignment="1" applyProtection="1">
      <alignment horizontal="center" vertical="center" wrapText="1"/>
      <protection hidden="1"/>
    </xf>
    <xf numFmtId="0" fontId="39" fillId="14" borderId="8" xfId="17" applyNumberFormat="1" applyFont="1" applyFill="1" applyBorder="1" applyAlignment="1" applyProtection="1">
      <alignment vertical="center" wrapText="1"/>
      <protection hidden="1"/>
    </xf>
    <xf numFmtId="0" fontId="39" fillId="14" borderId="26" xfId="17" applyNumberFormat="1" applyFont="1" applyFill="1" applyBorder="1" applyAlignment="1" applyProtection="1">
      <alignment vertical="center" wrapText="1"/>
      <protection hidden="1"/>
    </xf>
    <xf numFmtId="0" fontId="57" fillId="14" borderId="9" xfId="17" applyNumberFormat="1" applyFont="1" applyFill="1" applyBorder="1" applyAlignment="1" applyProtection="1">
      <alignment horizontal="center" vertical="center" wrapText="1" shrinkToFit="1"/>
      <protection hidden="1"/>
    </xf>
    <xf numFmtId="0" fontId="42" fillId="14" borderId="26" xfId="17" applyNumberFormat="1" applyFont="1" applyFill="1" applyBorder="1" applyProtection="1">
      <protection hidden="1"/>
    </xf>
    <xf numFmtId="0" fontId="41" fillId="14" borderId="31" xfId="17" applyNumberFormat="1" applyFont="1" applyFill="1" applyBorder="1" applyAlignment="1" applyProtection="1">
      <alignment horizontal="right"/>
      <protection hidden="1"/>
    </xf>
    <xf numFmtId="0" fontId="43" fillId="14" borderId="23" xfId="17" applyNumberFormat="1" applyFont="1" applyFill="1" applyBorder="1" applyAlignment="1" applyProtection="1">
      <alignment horizontal="center" vertical="center" wrapText="1"/>
      <protection hidden="1"/>
    </xf>
    <xf numFmtId="0" fontId="41" fillId="14" borderId="41" xfId="17" applyNumberFormat="1" applyFont="1" applyFill="1" applyBorder="1" applyAlignment="1" applyProtection="1">
      <alignment horizontal="right"/>
      <protection hidden="1"/>
    </xf>
    <xf numFmtId="0" fontId="41" fillId="14" borderId="26" xfId="17" applyNumberFormat="1" applyFont="1" applyFill="1" applyBorder="1" applyAlignment="1" applyProtection="1">
      <alignment wrapText="1"/>
      <protection hidden="1"/>
    </xf>
    <xf numFmtId="0" fontId="41" fillId="14" borderId="27" xfId="17" applyNumberFormat="1" applyFont="1" applyFill="1" applyBorder="1" applyAlignment="1" applyProtection="1">
      <alignment wrapText="1"/>
      <protection hidden="1"/>
    </xf>
    <xf numFmtId="0" fontId="32" fillId="14" borderId="31" xfId="17" applyNumberFormat="1" applyFont="1" applyFill="1" applyBorder="1" applyAlignment="1" applyProtection="1">
      <alignment horizontal="right" wrapText="1"/>
      <protection hidden="1"/>
    </xf>
    <xf numFmtId="0" fontId="32" fillId="14" borderId="25" xfId="17" applyNumberFormat="1" applyFont="1" applyFill="1" applyBorder="1" applyAlignment="1" applyProtection="1">
      <alignment horizontal="right" wrapText="1"/>
      <protection hidden="1"/>
    </xf>
    <xf numFmtId="0" fontId="39" fillId="14" borderId="26" xfId="17" applyNumberFormat="1" applyFont="1" applyFill="1" applyBorder="1" applyAlignment="1" applyProtection="1">
      <alignment horizontal="center" vertical="center"/>
      <protection hidden="1"/>
    </xf>
    <xf numFmtId="0" fontId="39" fillId="14" borderId="8" xfId="0" applyNumberFormat="1" applyFont="1" applyFill="1" applyBorder="1" applyAlignment="1" applyProtection="1">
      <alignment vertical="center"/>
      <protection hidden="1"/>
    </xf>
    <xf numFmtId="0" fontId="39" fillId="14" borderId="8" xfId="0" applyNumberFormat="1" applyFont="1" applyFill="1" applyBorder="1" applyAlignment="1" applyProtection="1">
      <alignment horizontal="center" vertical="center" wrapText="1"/>
      <protection hidden="1"/>
    </xf>
    <xf numFmtId="0" fontId="39" fillId="14" borderId="8" xfId="0" applyNumberFormat="1" applyFont="1" applyFill="1" applyBorder="1" applyAlignment="1" applyProtection="1">
      <alignment vertical="center" wrapText="1"/>
      <protection hidden="1"/>
    </xf>
    <xf numFmtId="0" fontId="39" fillId="14" borderId="25" xfId="0" applyNumberFormat="1" applyFont="1" applyFill="1" applyBorder="1" applyAlignment="1" applyProtection="1">
      <alignment horizontal="center" vertical="center" wrapText="1"/>
      <protection hidden="1"/>
    </xf>
    <xf numFmtId="0" fontId="44" fillId="14" borderId="26" xfId="17" applyNumberFormat="1" applyFont="1" applyFill="1" applyBorder="1" applyAlignment="1" applyProtection="1">
      <alignment horizontal="left"/>
      <protection hidden="1"/>
    </xf>
    <xf numFmtId="0" fontId="41" fillId="14" borderId="27" xfId="17" applyNumberFormat="1" applyFont="1" applyFill="1" applyBorder="1" applyAlignment="1" applyProtection="1">
      <alignment horizontal="left"/>
      <protection hidden="1"/>
    </xf>
    <xf numFmtId="0" fontId="39" fillId="14" borderId="76" xfId="0" applyNumberFormat="1" applyFont="1" applyFill="1" applyBorder="1" applyAlignment="1" applyProtection="1">
      <alignment horizontal="center" vertical="center"/>
      <protection hidden="1"/>
    </xf>
    <xf numFmtId="0" fontId="39" fillId="14" borderId="9" xfId="0" applyNumberFormat="1" applyFont="1" applyFill="1" applyBorder="1" applyAlignment="1" applyProtection="1">
      <alignment vertical="center"/>
      <protection hidden="1"/>
    </xf>
    <xf numFmtId="0" fontId="44" fillId="14" borderId="26" xfId="17" applyNumberFormat="1" applyFont="1" applyFill="1" applyBorder="1" applyAlignment="1" applyProtection="1">
      <alignment vertical="center"/>
      <protection hidden="1"/>
    </xf>
    <xf numFmtId="0" fontId="44" fillId="14" borderId="31" xfId="17" applyNumberFormat="1" applyFont="1" applyFill="1" applyBorder="1" applyAlignment="1" applyProtection="1">
      <alignment vertical="center"/>
      <protection hidden="1"/>
    </xf>
    <xf numFmtId="0" fontId="44" fillId="14" borderId="31" xfId="17" applyNumberFormat="1" applyFont="1" applyFill="1" applyBorder="1" applyAlignment="1" applyProtection="1">
      <alignment vertical="center" wrapText="1"/>
      <protection hidden="1"/>
    </xf>
    <xf numFmtId="0" fontId="44" fillId="14" borderId="27" xfId="17" applyNumberFormat="1" applyFont="1" applyFill="1" applyBorder="1" applyAlignment="1" applyProtection="1">
      <alignment vertical="center" wrapText="1"/>
      <protection hidden="1"/>
    </xf>
    <xf numFmtId="0" fontId="39" fillId="14" borderId="55" xfId="0" applyNumberFormat="1" applyFont="1" applyFill="1" applyBorder="1" applyAlignment="1" applyProtection="1">
      <alignment horizontal="center" vertical="center"/>
      <protection hidden="1"/>
    </xf>
    <xf numFmtId="0" fontId="39" fillId="14" borderId="12" xfId="0" applyNumberFormat="1" applyFont="1" applyFill="1" applyBorder="1" applyAlignment="1" applyProtection="1">
      <alignment horizontal="center" vertical="center"/>
      <protection hidden="1"/>
    </xf>
    <xf numFmtId="0" fontId="39" fillId="14" borderId="56" xfId="0" applyNumberFormat="1" applyFont="1" applyFill="1" applyBorder="1" applyAlignment="1" applyProtection="1">
      <alignment horizontal="center" vertical="center"/>
      <protection hidden="1"/>
    </xf>
    <xf numFmtId="0" fontId="13" fillId="0" borderId="48" xfId="17" applyNumberFormat="1" applyFont="1" applyFill="1" applyBorder="1" applyAlignment="1" applyProtection="1">
      <alignment horizontal="left" vertical="center"/>
      <protection hidden="1"/>
    </xf>
    <xf numFmtId="0" fontId="5" fillId="0" borderId="16" xfId="17" applyNumberFormat="1" applyFont="1" applyFill="1" applyBorder="1" applyAlignment="1" applyProtection="1">
      <alignment horizontal="left" vertical="center" wrapText="1"/>
    </xf>
    <xf numFmtId="0" fontId="5" fillId="0" borderId="17" xfId="17" applyNumberFormat="1" applyFont="1" applyFill="1" applyBorder="1" applyAlignment="1" applyProtection="1">
      <alignment horizontal="left" vertical="center" wrapText="1"/>
    </xf>
    <xf numFmtId="2" fontId="19" fillId="2" borderId="25" xfId="17" applyNumberFormat="1" applyFont="1" applyFill="1" applyBorder="1" applyAlignment="1" applyProtection="1">
      <alignment horizontal="center" vertical="center" wrapText="1"/>
      <protection hidden="1"/>
    </xf>
    <xf numFmtId="2" fontId="19" fillId="2" borderId="9" xfId="17" applyNumberFormat="1" applyFont="1" applyFill="1" applyBorder="1" applyAlignment="1" applyProtection="1">
      <alignment horizontal="center" vertical="center" wrapText="1"/>
      <protection hidden="1"/>
    </xf>
    <xf numFmtId="0" fontId="68" fillId="0" borderId="0" xfId="17" applyFont="1" applyAlignment="1" applyProtection="1">
      <alignment vertical="center"/>
      <protection locked="0"/>
    </xf>
    <xf numFmtId="0" fontId="18" fillId="0" borderId="80" xfId="7" applyFont="1" applyFill="1" applyBorder="1" applyAlignment="1" applyProtection="1">
      <alignment horizontal="center" wrapText="1"/>
      <protection hidden="1"/>
    </xf>
    <xf numFmtId="0" fontId="18" fillId="0" borderId="49" xfId="7" applyFont="1" applyFill="1" applyBorder="1" applyAlignment="1" applyProtection="1">
      <alignment horizontal="center" wrapText="1"/>
      <protection hidden="1"/>
    </xf>
    <xf numFmtId="165" fontId="18" fillId="0" borderId="49" xfId="7" applyNumberFormat="1" applyFont="1" applyFill="1" applyBorder="1" applyAlignment="1" applyProtection="1">
      <alignment horizontal="center" wrapText="1"/>
      <protection hidden="1"/>
    </xf>
    <xf numFmtId="0" fontId="18" fillId="0" borderId="49" xfId="12" applyFont="1" applyFill="1" applyBorder="1" applyAlignment="1" applyProtection="1">
      <alignment horizontal="center" wrapText="1"/>
      <protection hidden="1"/>
    </xf>
    <xf numFmtId="0" fontId="18" fillId="0" borderId="102" xfId="11" applyFont="1" applyFill="1" applyBorder="1" applyAlignment="1" applyProtection="1">
      <alignment horizontal="center" wrapText="1"/>
      <protection hidden="1"/>
    </xf>
    <xf numFmtId="0" fontId="18" fillId="0" borderId="87" xfId="12" applyFont="1" applyFill="1" applyBorder="1" applyAlignment="1" applyProtection="1">
      <alignment horizontal="center" wrapText="1"/>
      <protection hidden="1"/>
    </xf>
    <xf numFmtId="165" fontId="18" fillId="0" borderId="12" xfId="8" applyNumberFormat="1" applyFont="1" applyFill="1" applyBorder="1" applyAlignment="1" applyProtection="1">
      <alignment horizontal="left" wrapText="1"/>
      <protection hidden="1"/>
    </xf>
    <xf numFmtId="0" fontId="13" fillId="0" borderId="42" xfId="17" applyNumberFormat="1" applyFont="1" applyFill="1" applyBorder="1" applyAlignment="1" applyProtection="1">
      <alignment horizontal="left" vertical="center"/>
      <protection locked="0" hidden="1"/>
    </xf>
    <xf numFmtId="0" fontId="5" fillId="0" borderId="50" xfId="17" applyNumberFormat="1" applyFont="1" applyFill="1" applyBorder="1" applyAlignment="1" applyProtection="1">
      <alignment horizontal="left" vertical="center" wrapText="1"/>
      <protection locked="0"/>
    </xf>
    <xf numFmtId="0" fontId="13" fillId="0" borderId="53" xfId="17" applyNumberFormat="1" applyFont="1" applyFill="1" applyBorder="1" applyAlignment="1" applyProtection="1">
      <alignment horizontal="left" vertical="center"/>
      <protection locked="0" hidden="1"/>
    </xf>
    <xf numFmtId="0" fontId="5" fillId="0" borderId="46" xfId="17" applyNumberFormat="1" applyFont="1" applyFill="1" applyBorder="1" applyAlignment="1" applyProtection="1">
      <alignment horizontal="left" vertical="center" wrapText="1"/>
      <protection locked="0"/>
    </xf>
    <xf numFmtId="0" fontId="5" fillId="0" borderId="49" xfId="17" applyNumberFormat="1" applyFont="1" applyFill="1" applyBorder="1" applyAlignment="1" applyProtection="1">
      <alignment horizontal="left" vertical="center" wrapText="1"/>
      <protection locked="0"/>
    </xf>
    <xf numFmtId="0" fontId="5" fillId="0" borderId="47" xfId="17" applyNumberFormat="1" applyFont="1" applyFill="1" applyBorder="1" applyAlignment="1" applyProtection="1">
      <alignment horizontal="left" vertical="center" wrapText="1"/>
      <protection locked="0"/>
    </xf>
    <xf numFmtId="0" fontId="5" fillId="0" borderId="87" xfId="17" applyNumberFormat="1" applyFont="1" applyFill="1" applyBorder="1" applyAlignment="1" applyProtection="1">
      <alignment horizontal="left" vertical="center" wrapText="1"/>
      <protection locked="0"/>
    </xf>
    <xf numFmtId="0" fontId="70" fillId="0" borderId="0" xfId="21" applyAlignment="1">
      <alignment horizontal="centerContinuous"/>
    </xf>
    <xf numFmtId="0" fontId="70" fillId="0" borderId="0" xfId="21"/>
    <xf numFmtId="0" fontId="71" fillId="0" borderId="0" xfId="21" applyFont="1" applyAlignment="1">
      <alignment horizontal="center"/>
    </xf>
    <xf numFmtId="0" fontId="71" fillId="0" borderId="0" xfId="21" applyFont="1"/>
    <xf numFmtId="0" fontId="72" fillId="15" borderId="62" xfId="21" applyFont="1" applyFill="1" applyBorder="1"/>
    <xf numFmtId="49" fontId="70" fillId="16" borderId="62" xfId="21" applyNumberFormat="1" applyFill="1" applyBorder="1"/>
    <xf numFmtId="0" fontId="72" fillId="17" borderId="62" xfId="21" applyFont="1" applyFill="1" applyBorder="1"/>
    <xf numFmtId="0" fontId="0" fillId="0" borderId="0" xfId="0" applyProtection="1">
      <protection locked="0"/>
    </xf>
    <xf numFmtId="1" fontId="41" fillId="9" borderId="103" xfId="22" applyNumberFormat="1" applyFont="1" applyFill="1" applyBorder="1" applyAlignment="1" applyProtection="1">
      <alignment horizontal="left"/>
    </xf>
    <xf numFmtId="1" fontId="41" fillId="9" borderId="23" xfId="22" applyNumberFormat="1" applyFont="1" applyFill="1" applyBorder="1" applyAlignment="1" applyProtection="1">
      <alignment horizontal="left"/>
    </xf>
    <xf numFmtId="0" fontId="5" fillId="0" borderId="45" xfId="17" applyNumberFormat="1" applyFont="1" applyFill="1" applyBorder="1" applyAlignment="1" applyProtection="1">
      <alignment horizontal="left" vertical="center" wrapText="1"/>
    </xf>
    <xf numFmtId="0" fontId="22" fillId="0" borderId="0" xfId="23" applyFont="1" applyAlignment="1" applyProtection="1">
      <alignment horizontal="right"/>
      <protection hidden="1"/>
    </xf>
    <xf numFmtId="0" fontId="18" fillId="0" borderId="0" xfId="23" applyFont="1" applyFill="1" applyBorder="1" applyProtection="1">
      <protection hidden="1"/>
    </xf>
    <xf numFmtId="0" fontId="22" fillId="7" borderId="0" xfId="23" applyFont="1" applyFill="1" applyBorder="1" applyAlignment="1" applyProtection="1">
      <alignment horizontal="center"/>
      <protection hidden="1"/>
    </xf>
    <xf numFmtId="0" fontId="18" fillId="0" borderId="0" xfId="23" applyFont="1" applyAlignment="1" applyProtection="1">
      <protection hidden="1"/>
    </xf>
    <xf numFmtId="0" fontId="18" fillId="0" borderId="0" xfId="23" applyFont="1" applyProtection="1">
      <protection hidden="1"/>
    </xf>
    <xf numFmtId="0" fontId="22" fillId="7" borderId="0" xfId="23" applyFont="1" applyFill="1" applyAlignment="1" applyProtection="1">
      <alignment horizontal="center"/>
      <protection hidden="1"/>
    </xf>
    <xf numFmtId="165" fontId="18" fillId="0" borderId="0" xfId="23" applyNumberFormat="1" applyFont="1" applyFill="1" applyBorder="1" applyAlignment="1" applyProtection="1">
      <alignment horizontal="center" wrapText="1"/>
      <protection hidden="1"/>
    </xf>
    <xf numFmtId="0" fontId="19" fillId="0" borderId="12" xfId="23" applyFont="1" applyFill="1" applyBorder="1" applyAlignment="1" applyProtection="1">
      <alignment horizontal="center" wrapText="1"/>
      <protection hidden="1"/>
    </xf>
    <xf numFmtId="0" fontId="19" fillId="2" borderId="4" xfId="23" applyFont="1" applyFill="1" applyBorder="1" applyAlignment="1" applyProtection="1">
      <alignment horizontal="center" wrapText="1"/>
      <protection hidden="1"/>
    </xf>
    <xf numFmtId="0" fontId="19" fillId="2" borderId="12" xfId="23" applyFont="1" applyFill="1" applyBorder="1" applyAlignment="1" applyProtection="1">
      <alignment horizontal="center" wrapText="1"/>
      <protection hidden="1"/>
    </xf>
    <xf numFmtId="0" fontId="19" fillId="2" borderId="4" xfId="23" applyFont="1" applyFill="1" applyBorder="1" applyAlignment="1" applyProtection="1">
      <alignment horizontal="center"/>
      <protection hidden="1"/>
    </xf>
    <xf numFmtId="0" fontId="19" fillId="2" borderId="33" xfId="23" applyFont="1" applyFill="1" applyBorder="1" applyAlignment="1" applyProtection="1">
      <alignment horizontal="center" wrapText="1"/>
      <protection hidden="1"/>
    </xf>
    <xf numFmtId="0" fontId="19" fillId="2" borderId="34" xfId="23" applyFont="1" applyFill="1" applyBorder="1" applyAlignment="1" applyProtection="1">
      <alignment horizontal="center" wrapText="1"/>
      <protection hidden="1"/>
    </xf>
    <xf numFmtId="0" fontId="19" fillId="2" borderId="36" xfId="23" applyFont="1" applyFill="1" applyBorder="1" applyAlignment="1" applyProtection="1">
      <alignment horizontal="center" wrapText="1"/>
      <protection hidden="1"/>
    </xf>
    <xf numFmtId="0" fontId="44" fillId="2" borderId="12" xfId="23" applyFont="1" applyFill="1" applyBorder="1" applyAlignment="1" applyProtection="1">
      <alignment horizontal="center"/>
      <protection hidden="1"/>
    </xf>
    <xf numFmtId="165" fontId="44" fillId="2" borderId="12" xfId="23" applyNumberFormat="1" applyFont="1" applyFill="1" applyBorder="1" applyAlignment="1" applyProtection="1">
      <alignment horizontal="center" wrapText="1"/>
      <protection hidden="1"/>
    </xf>
    <xf numFmtId="0" fontId="19" fillId="2" borderId="55" xfId="23" applyFont="1" applyFill="1" applyBorder="1" applyAlignment="1" applyProtection="1">
      <alignment horizontal="center" wrapText="1"/>
      <protection hidden="1"/>
    </xf>
    <xf numFmtId="0" fontId="19" fillId="2" borderId="35" xfId="23" applyFont="1" applyFill="1" applyBorder="1" applyAlignment="1" applyProtection="1">
      <alignment horizontal="center" wrapText="1"/>
      <protection hidden="1"/>
    </xf>
    <xf numFmtId="0" fontId="47" fillId="0" borderId="0" xfId="23" applyFont="1" applyProtection="1">
      <protection hidden="1"/>
    </xf>
    <xf numFmtId="168" fontId="18" fillId="0" borderId="12" xfId="23" applyNumberFormat="1" applyFont="1" applyFill="1" applyBorder="1" applyAlignment="1" applyProtection="1">
      <alignment horizontal="center" wrapText="1"/>
      <protection hidden="1"/>
    </xf>
    <xf numFmtId="0" fontId="18" fillId="0" borderId="1" xfId="23" applyFont="1" applyFill="1" applyBorder="1" applyAlignment="1" applyProtection="1">
      <alignment horizontal="center" wrapText="1"/>
      <protection hidden="1"/>
    </xf>
    <xf numFmtId="0" fontId="18" fillId="0" borderId="12" xfId="23" applyFont="1" applyFill="1" applyBorder="1" applyAlignment="1" applyProtection="1">
      <alignment horizontal="center" wrapText="1"/>
      <protection hidden="1"/>
    </xf>
    <xf numFmtId="0" fontId="18" fillId="0" borderId="1" xfId="23" applyFont="1" applyFill="1" applyBorder="1" applyAlignment="1" applyProtection="1">
      <alignment horizontal="left"/>
      <protection hidden="1"/>
    </xf>
    <xf numFmtId="165" fontId="18" fillId="0" borderId="1" xfId="23" applyNumberFormat="1" applyFont="1" applyFill="1" applyBorder="1" applyAlignment="1" applyProtection="1">
      <alignment horizontal="center" wrapText="1"/>
      <protection hidden="1"/>
    </xf>
    <xf numFmtId="0" fontId="18" fillId="0" borderId="12" xfId="23" applyFont="1" applyFill="1" applyBorder="1" applyAlignment="1" applyProtection="1">
      <alignment horizontal="left" wrapText="1"/>
      <protection hidden="1"/>
    </xf>
    <xf numFmtId="0" fontId="18" fillId="0" borderId="1" xfId="23" applyFont="1" applyFill="1" applyBorder="1" applyAlignment="1" applyProtection="1">
      <alignment horizontal="left" wrapText="1"/>
      <protection hidden="1"/>
    </xf>
    <xf numFmtId="9" fontId="18" fillId="0" borderId="1" xfId="23" applyNumberFormat="1" applyFont="1" applyFill="1" applyBorder="1" applyAlignment="1" applyProtection="1">
      <alignment horizontal="left" wrapText="1"/>
      <protection hidden="1"/>
    </xf>
    <xf numFmtId="164" fontId="18" fillId="0" borderId="0" xfId="0" applyNumberFormat="1" applyFont="1" applyAlignment="1">
      <alignment horizontal="center"/>
    </xf>
    <xf numFmtId="0" fontId="18" fillId="0" borderId="49" xfId="23" applyFont="1" applyBorder="1" applyProtection="1">
      <protection hidden="1"/>
    </xf>
    <xf numFmtId="169" fontId="47" fillId="0" borderId="52" xfId="23" applyNumberFormat="1" applyFont="1" applyBorder="1" applyAlignment="1" applyProtection="1">
      <alignment horizontal="left"/>
      <protection hidden="1"/>
    </xf>
    <xf numFmtId="0" fontId="49" fillId="0" borderId="1" xfId="23" applyFont="1" applyFill="1" applyBorder="1" applyAlignment="1" applyProtection="1">
      <alignment horizontal="center" wrapText="1"/>
      <protection hidden="1"/>
    </xf>
    <xf numFmtId="0" fontId="18" fillId="0" borderId="1" xfId="23" applyFont="1" applyFill="1" applyBorder="1" applyAlignment="1" applyProtection="1">
      <alignment horizontal="center"/>
      <protection hidden="1"/>
    </xf>
    <xf numFmtId="169" fontId="47" fillId="0" borderId="38" xfId="23" applyNumberFormat="1" applyFont="1" applyBorder="1" applyAlignment="1" applyProtection="1">
      <alignment horizontal="left"/>
      <protection hidden="1"/>
    </xf>
    <xf numFmtId="0" fontId="18" fillId="0" borderId="0" xfId="23" applyFont="1" applyAlignment="1" applyProtection="1">
      <alignment horizontal="center"/>
      <protection hidden="1"/>
    </xf>
    <xf numFmtId="0" fontId="18" fillId="0" borderId="1" xfId="24" applyFont="1" applyFill="1" applyBorder="1" applyAlignment="1" applyProtection="1">
      <alignment horizontal="center"/>
      <protection hidden="1"/>
    </xf>
    <xf numFmtId="165" fontId="18" fillId="0" borderId="1" xfId="24" applyNumberFormat="1" applyFont="1" applyFill="1" applyBorder="1" applyAlignment="1" applyProtection="1">
      <alignment horizontal="center" wrapText="1"/>
      <protection hidden="1"/>
    </xf>
    <xf numFmtId="0" fontId="18" fillId="0" borderId="0" xfId="24" applyFont="1" applyAlignment="1" applyProtection="1">
      <alignment horizontal="center"/>
      <protection hidden="1"/>
    </xf>
    <xf numFmtId="0" fontId="18" fillId="0" borderId="0" xfId="23" applyFont="1" applyFill="1" applyBorder="1" applyAlignment="1" applyProtection="1">
      <alignment horizontal="center" wrapText="1"/>
      <protection hidden="1"/>
    </xf>
    <xf numFmtId="0" fontId="19" fillId="2" borderId="4" xfId="25" applyFont="1" applyFill="1" applyBorder="1" applyAlignment="1" applyProtection="1">
      <alignment horizontal="center" wrapText="1"/>
      <protection hidden="1"/>
    </xf>
    <xf numFmtId="0" fontId="18" fillId="0" borderId="1" xfId="25" applyFont="1" applyFill="1" applyBorder="1" applyAlignment="1" applyProtection="1">
      <alignment horizontal="center"/>
      <protection hidden="1"/>
    </xf>
    <xf numFmtId="0" fontId="18" fillId="0" borderId="0" xfId="23" applyFont="1" applyFill="1" applyBorder="1" applyAlignment="1" applyProtection="1">
      <alignment horizontal="center"/>
      <protection hidden="1"/>
    </xf>
    <xf numFmtId="165" fontId="18" fillId="0" borderId="70" xfId="23" applyNumberFormat="1" applyFont="1" applyFill="1" applyBorder="1" applyAlignment="1" applyProtection="1">
      <alignment horizontal="center" wrapText="1"/>
      <protection hidden="1"/>
    </xf>
    <xf numFmtId="0" fontId="18" fillId="0" borderId="70" xfId="23" applyFont="1" applyFill="1" applyBorder="1" applyAlignment="1" applyProtection="1">
      <alignment horizontal="center" wrapText="1"/>
      <protection hidden="1"/>
    </xf>
    <xf numFmtId="0" fontId="18" fillId="0" borderId="63" xfId="23" applyFont="1" applyBorder="1" applyAlignment="1" applyProtection="1">
      <alignment horizontal="center"/>
      <protection hidden="1"/>
    </xf>
    <xf numFmtId="0" fontId="18" fillId="0" borderId="64" xfId="23" applyFont="1" applyBorder="1" applyProtection="1">
      <protection hidden="1"/>
    </xf>
    <xf numFmtId="165" fontId="18" fillId="0" borderId="65" xfId="23" applyNumberFormat="1" applyFont="1" applyFill="1" applyBorder="1" applyAlignment="1" applyProtection="1">
      <alignment horizontal="center" wrapText="1"/>
      <protection hidden="1"/>
    </xf>
    <xf numFmtId="0" fontId="18" fillId="0" borderId="79" xfId="23" applyFont="1" applyBorder="1" applyProtection="1">
      <protection hidden="1"/>
    </xf>
    <xf numFmtId="0" fontId="18" fillId="0" borderId="66" xfId="23" applyFont="1" applyFill="1" applyBorder="1" applyAlignment="1" applyProtection="1">
      <alignment horizontal="center"/>
      <protection hidden="1"/>
    </xf>
    <xf numFmtId="0" fontId="18" fillId="0" borderId="0" xfId="23" applyFont="1" applyBorder="1" applyProtection="1">
      <protection hidden="1"/>
    </xf>
    <xf numFmtId="0" fontId="18" fillId="0" borderId="78" xfId="23" applyFont="1" applyBorder="1" applyProtection="1">
      <protection hidden="1"/>
    </xf>
    <xf numFmtId="0" fontId="18" fillId="0" borderId="71" xfId="23" applyFont="1" applyFill="1" applyBorder="1" applyAlignment="1" applyProtection="1">
      <alignment horizontal="center" wrapText="1"/>
      <protection hidden="1"/>
    </xf>
    <xf numFmtId="0" fontId="18" fillId="0" borderId="1" xfId="23" applyFont="1" applyBorder="1" applyAlignment="1" applyProtection="1">
      <protection hidden="1"/>
    </xf>
    <xf numFmtId="0" fontId="18" fillId="0" borderId="67" xfId="23" applyFont="1" applyFill="1" applyBorder="1" applyAlignment="1" applyProtection="1">
      <alignment horizontal="center"/>
      <protection hidden="1"/>
    </xf>
    <xf numFmtId="0" fontId="18" fillId="0" borderId="68" xfId="23" applyFont="1" applyBorder="1" applyProtection="1">
      <protection hidden="1"/>
    </xf>
    <xf numFmtId="165" fontId="18" fillId="0" borderId="69" xfId="23" applyNumberFormat="1" applyFont="1" applyFill="1" applyBorder="1" applyAlignment="1" applyProtection="1">
      <alignment horizontal="center" wrapText="1"/>
      <protection hidden="1"/>
    </xf>
    <xf numFmtId="0" fontId="18" fillId="0" borderId="77" xfId="23" applyFont="1" applyBorder="1" applyProtection="1">
      <protection hidden="1"/>
    </xf>
    <xf numFmtId="165" fontId="18" fillId="0" borderId="15" xfId="23" applyNumberFormat="1" applyFont="1" applyFill="1" applyBorder="1" applyAlignment="1" applyProtection="1">
      <alignment horizontal="center" wrapText="1"/>
      <protection hidden="1"/>
    </xf>
    <xf numFmtId="0" fontId="18" fillId="0" borderId="15" xfId="23" applyFont="1" applyFill="1" applyBorder="1" applyAlignment="1" applyProtection="1">
      <alignment horizontal="center" wrapText="1"/>
      <protection hidden="1"/>
    </xf>
    <xf numFmtId="165" fontId="18" fillId="0" borderId="15" xfId="0" applyNumberFormat="1" applyFont="1" applyBorder="1" applyAlignment="1" applyProtection="1">
      <alignment horizontal="center" wrapText="1"/>
      <protection hidden="1"/>
    </xf>
    <xf numFmtId="0" fontId="18" fillId="0" borderId="0" xfId="23" applyFont="1" applyFill="1" applyAlignment="1" applyProtection="1">
      <alignment horizontal="left"/>
      <protection hidden="1"/>
    </xf>
    <xf numFmtId="0" fontId="63" fillId="0" borderId="0" xfId="0" applyFont="1" applyFill="1" applyBorder="1" applyAlignment="1">
      <alignment vertical="top"/>
    </xf>
    <xf numFmtId="0" fontId="22" fillId="0" borderId="0" xfId="9" applyFont="1" applyAlignment="1" applyProtection="1">
      <alignment horizontal="right"/>
      <protection hidden="1"/>
    </xf>
    <xf numFmtId="0" fontId="18" fillId="0" borderId="0" xfId="9" applyFont="1" applyFill="1" applyBorder="1" applyProtection="1">
      <protection hidden="1"/>
    </xf>
    <xf numFmtId="0" fontId="22" fillId="7" borderId="0" xfId="9" applyFont="1" applyFill="1" applyBorder="1" applyAlignment="1" applyProtection="1">
      <alignment horizontal="center"/>
      <protection hidden="1"/>
    </xf>
    <xf numFmtId="0" fontId="18" fillId="0" borderId="0" xfId="9" applyFont="1" applyProtection="1">
      <protection hidden="1"/>
    </xf>
    <xf numFmtId="0" fontId="22" fillId="7" borderId="0" xfId="9" applyFont="1" applyFill="1" applyAlignment="1" applyProtection="1">
      <alignment horizontal="center"/>
      <protection hidden="1"/>
    </xf>
    <xf numFmtId="0" fontId="19" fillId="0" borderId="12" xfId="9" applyFont="1" applyFill="1" applyBorder="1" applyAlignment="1" applyProtection="1">
      <alignment horizontal="center" wrapText="1"/>
      <protection hidden="1"/>
    </xf>
    <xf numFmtId="0" fontId="19" fillId="2" borderId="4" xfId="9" applyFont="1" applyFill="1" applyBorder="1" applyAlignment="1" applyProtection="1">
      <alignment horizontal="center" wrapText="1"/>
      <protection hidden="1"/>
    </xf>
    <xf numFmtId="0" fontId="19" fillId="2" borderId="12" xfId="24" applyFont="1" applyFill="1" applyBorder="1" applyAlignment="1" applyProtection="1">
      <alignment horizontal="center" wrapText="1"/>
      <protection hidden="1"/>
    </xf>
    <xf numFmtId="0" fontId="19" fillId="2" borderId="4" xfId="24" applyFont="1" applyFill="1" applyBorder="1" applyAlignment="1" applyProtection="1">
      <alignment horizontal="center" wrapText="1"/>
      <protection hidden="1"/>
    </xf>
    <xf numFmtId="0" fontId="19" fillId="2" borderId="33" xfId="9" applyFont="1" applyFill="1" applyBorder="1" applyAlignment="1" applyProtection="1">
      <alignment horizontal="center" wrapText="1"/>
      <protection hidden="1"/>
    </xf>
    <xf numFmtId="0" fontId="19" fillId="2" borderId="34" xfId="9" applyFont="1" applyFill="1" applyBorder="1" applyAlignment="1" applyProtection="1">
      <alignment horizontal="center" wrapText="1"/>
      <protection hidden="1"/>
    </xf>
    <xf numFmtId="0" fontId="47" fillId="2" borderId="64" xfId="9" applyFont="1" applyFill="1" applyBorder="1" applyAlignment="1" applyProtection="1">
      <alignment horizontal="center" wrapText="1"/>
      <protection hidden="1"/>
    </xf>
    <xf numFmtId="0" fontId="19" fillId="2" borderId="36" xfId="24" applyFont="1" applyFill="1" applyBorder="1" applyAlignment="1" applyProtection="1">
      <alignment horizontal="center" wrapText="1"/>
      <protection hidden="1"/>
    </xf>
    <xf numFmtId="0" fontId="19" fillId="2" borderId="36" xfId="9" applyFont="1" applyFill="1" applyBorder="1" applyAlignment="1" applyProtection="1">
      <alignment horizontal="center" wrapText="1"/>
      <protection hidden="1"/>
    </xf>
    <xf numFmtId="0" fontId="19" fillId="2" borderId="12" xfId="9" applyFont="1" applyFill="1" applyBorder="1" applyAlignment="1" applyProtection="1">
      <alignment horizontal="center" wrapText="1"/>
      <protection hidden="1"/>
    </xf>
    <xf numFmtId="0" fontId="44" fillId="2" borderId="12" xfId="9" applyFont="1" applyFill="1" applyBorder="1" applyAlignment="1" applyProtection="1">
      <alignment horizontal="center" wrapText="1"/>
      <protection hidden="1"/>
    </xf>
    <xf numFmtId="165" fontId="44" fillId="2" borderId="12" xfId="9" applyNumberFormat="1" applyFont="1" applyFill="1" applyBorder="1" applyAlignment="1" applyProtection="1">
      <alignment horizontal="center" wrapText="1"/>
      <protection hidden="1"/>
    </xf>
    <xf numFmtId="0" fontId="19" fillId="2" borderId="55" xfId="9" applyFont="1" applyFill="1" applyBorder="1" applyAlignment="1" applyProtection="1">
      <alignment horizontal="center" wrapText="1"/>
      <protection hidden="1"/>
    </xf>
    <xf numFmtId="0" fontId="19" fillId="2" borderId="35" xfId="9" applyFont="1" applyFill="1" applyBorder="1" applyAlignment="1" applyProtection="1">
      <alignment horizontal="center" wrapText="1"/>
      <protection hidden="1"/>
    </xf>
    <xf numFmtId="0" fontId="47" fillId="2" borderId="0" xfId="9" applyFont="1" applyFill="1" applyBorder="1" applyAlignment="1" applyProtection="1">
      <alignment horizontal="center" wrapText="1"/>
      <protection hidden="1"/>
    </xf>
    <xf numFmtId="168" fontId="18" fillId="0" borderId="12" xfId="9" applyNumberFormat="1" applyFont="1" applyFill="1" applyBorder="1" applyAlignment="1" applyProtection="1">
      <alignment horizontal="center" wrapText="1"/>
      <protection hidden="1"/>
    </xf>
    <xf numFmtId="0" fontId="18" fillId="0" borderId="1" xfId="24" applyFont="1" applyFill="1" applyBorder="1" applyAlignment="1" applyProtection="1">
      <alignment horizontal="center" wrapText="1"/>
      <protection hidden="1"/>
    </xf>
    <xf numFmtId="0" fontId="18" fillId="0" borderId="1" xfId="9" applyFont="1" applyFill="1" applyBorder="1" applyAlignment="1" applyProtection="1">
      <alignment horizontal="center" wrapText="1"/>
      <protection hidden="1"/>
    </xf>
    <xf numFmtId="0" fontId="18" fillId="0" borderId="12" xfId="9" applyFont="1" applyFill="1" applyBorder="1" applyAlignment="1" applyProtection="1">
      <alignment horizontal="center" wrapText="1"/>
      <protection hidden="1"/>
    </xf>
    <xf numFmtId="0" fontId="18" fillId="0" borderId="1" xfId="9" applyFont="1" applyFill="1" applyBorder="1" applyAlignment="1" applyProtection="1">
      <alignment horizontal="left" wrapText="1"/>
      <protection hidden="1"/>
    </xf>
    <xf numFmtId="165" fontId="18" fillId="0" borderId="1" xfId="9" applyNumberFormat="1" applyFont="1" applyFill="1" applyBorder="1" applyAlignment="1" applyProtection="1">
      <alignment horizontal="center" wrapText="1"/>
      <protection hidden="1"/>
    </xf>
    <xf numFmtId="0" fontId="18" fillId="0" borderId="12" xfId="9" applyFont="1" applyFill="1" applyBorder="1" applyAlignment="1" applyProtection="1">
      <alignment horizontal="left" wrapText="1"/>
      <protection hidden="1"/>
    </xf>
    <xf numFmtId="9" fontId="18" fillId="0" borderId="1" xfId="9" applyNumberFormat="1" applyFont="1" applyFill="1" applyBorder="1" applyAlignment="1" applyProtection="1">
      <alignment horizontal="left" wrapText="1"/>
      <protection hidden="1"/>
    </xf>
    <xf numFmtId="165" fontId="18" fillId="0" borderId="1" xfId="0" applyNumberFormat="1" applyFont="1" applyBorder="1" applyAlignment="1" applyProtection="1">
      <alignment horizontal="center" wrapText="1"/>
      <protection hidden="1"/>
    </xf>
    <xf numFmtId="165" fontId="18" fillId="0" borderId="0" xfId="0" applyNumberFormat="1" applyFont="1" applyBorder="1" applyAlignment="1" applyProtection="1">
      <alignment horizontal="center" wrapText="1"/>
      <protection hidden="1"/>
    </xf>
    <xf numFmtId="0" fontId="18" fillId="0" borderId="49" xfId="24" applyFont="1" applyBorder="1" applyProtection="1">
      <protection hidden="1"/>
    </xf>
    <xf numFmtId="169" fontId="18" fillId="0" borderId="52" xfId="9" applyNumberFormat="1" applyFont="1" applyBorder="1" applyAlignment="1" applyProtection="1">
      <alignment horizontal="left"/>
      <protection hidden="1"/>
    </xf>
    <xf numFmtId="0" fontId="47" fillId="0" borderId="104" xfId="9" applyFont="1" applyBorder="1" applyProtection="1">
      <protection hidden="1"/>
    </xf>
    <xf numFmtId="0" fontId="1" fillId="0" borderId="62" xfId="0" applyFont="1" applyBorder="1"/>
    <xf numFmtId="0" fontId="1" fillId="0" borderId="0" xfId="0" applyFont="1" applyBorder="1"/>
    <xf numFmtId="0" fontId="1" fillId="0" borderId="0" xfId="0" applyFont="1" applyFill="1" applyBorder="1"/>
    <xf numFmtId="0" fontId="18" fillId="0" borderId="0" xfId="24" applyFont="1" applyAlignment="1" applyProtection="1">
      <protection hidden="1"/>
    </xf>
    <xf numFmtId="0" fontId="18" fillId="0" borderId="0" xfId="24" applyFont="1" applyProtection="1">
      <protection hidden="1"/>
    </xf>
    <xf numFmtId="169" fontId="18" fillId="0" borderId="38" xfId="9" applyNumberFormat="1" applyFont="1" applyBorder="1" applyAlignment="1" applyProtection="1">
      <alignment horizontal="left"/>
      <protection hidden="1"/>
    </xf>
    <xf numFmtId="0" fontId="0" fillId="0" borderId="62" xfId="0" applyFont="1" applyBorder="1"/>
    <xf numFmtId="0" fontId="0" fillId="0" borderId="0" xfId="0" applyFont="1" applyBorder="1"/>
    <xf numFmtId="165" fontId="18" fillId="0" borderId="49" xfId="0" applyNumberFormat="1" applyFont="1" applyBorder="1" applyAlignment="1" applyProtection="1">
      <alignment horizontal="center" wrapText="1"/>
      <protection hidden="1"/>
    </xf>
    <xf numFmtId="0" fontId="13" fillId="0" borderId="1" xfId="24" applyFont="1" applyFill="1" applyBorder="1" applyAlignment="1" applyProtection="1">
      <alignment horizontal="center"/>
      <protection hidden="1"/>
    </xf>
    <xf numFmtId="165" fontId="18" fillId="0" borderId="50" xfId="0" applyNumberFormat="1" applyFont="1" applyBorder="1" applyAlignment="1" applyProtection="1">
      <alignment horizontal="center" wrapText="1"/>
      <protection hidden="1"/>
    </xf>
    <xf numFmtId="0" fontId="18" fillId="0" borderId="0" xfId="9" applyFont="1" applyFill="1" applyBorder="1" applyAlignment="1" applyProtection="1">
      <alignment horizontal="center" wrapText="1"/>
      <protection hidden="1"/>
    </xf>
    <xf numFmtId="0" fontId="18" fillId="0" borderId="70" xfId="24" applyFont="1" applyFill="1" applyBorder="1" applyAlignment="1" applyProtection="1">
      <alignment horizontal="center"/>
      <protection hidden="1"/>
    </xf>
    <xf numFmtId="165" fontId="18" fillId="0" borderId="12" xfId="0" applyNumberFormat="1" applyFont="1" applyBorder="1" applyAlignment="1" applyProtection="1">
      <alignment horizontal="center" wrapText="1"/>
      <protection hidden="1"/>
    </xf>
    <xf numFmtId="0" fontId="18" fillId="0" borderId="70" xfId="9" applyFont="1" applyFill="1" applyBorder="1" applyAlignment="1" applyProtection="1">
      <alignment horizontal="center" wrapText="1"/>
      <protection hidden="1"/>
    </xf>
    <xf numFmtId="0" fontId="18" fillId="0" borderId="71" xfId="9" applyFont="1" applyFill="1" applyBorder="1" applyAlignment="1" applyProtection="1">
      <alignment horizontal="center" wrapText="1"/>
      <protection hidden="1"/>
    </xf>
    <xf numFmtId="0" fontId="18" fillId="0" borderId="63" xfId="24" applyFont="1" applyBorder="1" applyAlignment="1" applyProtection="1">
      <alignment horizontal="center"/>
      <protection hidden="1"/>
    </xf>
    <xf numFmtId="0" fontId="18" fillId="0" borderId="64" xfId="24" applyFont="1" applyBorder="1" applyProtection="1">
      <protection hidden="1"/>
    </xf>
    <xf numFmtId="165" fontId="18" fillId="0" borderId="65" xfId="24" applyNumberFormat="1" applyFont="1" applyFill="1" applyBorder="1" applyAlignment="1" applyProtection="1">
      <alignment horizontal="center" wrapText="1"/>
      <protection hidden="1"/>
    </xf>
    <xf numFmtId="0" fontId="18" fillId="0" borderId="79" xfId="24" applyFont="1" applyBorder="1" applyProtection="1">
      <protection hidden="1"/>
    </xf>
    <xf numFmtId="0" fontId="18" fillId="0" borderId="66" xfId="24" applyFont="1" applyFill="1" applyBorder="1" applyAlignment="1" applyProtection="1">
      <alignment horizontal="center"/>
      <protection hidden="1"/>
    </xf>
    <xf numFmtId="0" fontId="18" fillId="0" borderId="0" xfId="24" applyFont="1" applyBorder="1" applyProtection="1">
      <protection hidden="1"/>
    </xf>
    <xf numFmtId="0" fontId="18" fillId="0" borderId="78" xfId="24" applyFont="1" applyBorder="1" applyProtection="1">
      <protection hidden="1"/>
    </xf>
    <xf numFmtId="0" fontId="18" fillId="0" borderId="12" xfId="9" applyFont="1" applyFill="1" applyBorder="1" applyAlignment="1" applyProtection="1">
      <alignment horizontal="left"/>
      <protection hidden="1"/>
    </xf>
    <xf numFmtId="0" fontId="18" fillId="0" borderId="67" xfId="24" applyFont="1" applyFill="1" applyBorder="1" applyAlignment="1" applyProtection="1">
      <alignment horizontal="center"/>
      <protection hidden="1"/>
    </xf>
    <xf numFmtId="0" fontId="18" fillId="0" borderId="68" xfId="24" applyFont="1" applyBorder="1" applyProtection="1">
      <protection hidden="1"/>
    </xf>
    <xf numFmtId="165" fontId="18" fillId="0" borderId="69" xfId="24" applyNumberFormat="1" applyFont="1" applyFill="1" applyBorder="1" applyAlignment="1" applyProtection="1">
      <alignment horizontal="center" wrapText="1"/>
      <protection hidden="1"/>
    </xf>
    <xf numFmtId="0" fontId="18" fillId="0" borderId="77" xfId="24" applyFont="1" applyBorder="1" applyProtection="1">
      <protection hidden="1"/>
    </xf>
    <xf numFmtId="0" fontId="18" fillId="0" borderId="15" xfId="9" applyFont="1" applyFill="1" applyBorder="1" applyAlignment="1" applyProtection="1">
      <alignment horizontal="center" wrapText="1"/>
      <protection hidden="1"/>
    </xf>
    <xf numFmtId="0" fontId="18" fillId="0" borderId="0" xfId="24" applyFont="1" applyFill="1" applyBorder="1" applyAlignment="1" applyProtection="1">
      <alignment horizontal="center" wrapText="1"/>
      <protection hidden="1"/>
    </xf>
    <xf numFmtId="0" fontId="18" fillId="0" borderId="1" xfId="24" applyFont="1" applyFill="1" applyBorder="1" applyAlignment="1" applyProtection="1">
      <alignment horizontal="left"/>
      <protection hidden="1"/>
    </xf>
    <xf numFmtId="0" fontId="22" fillId="0" borderId="0" xfId="24" applyFont="1" applyAlignment="1" applyProtection="1">
      <alignment horizontal="right"/>
      <protection hidden="1"/>
    </xf>
    <xf numFmtId="0" fontId="18" fillId="0" borderId="0" xfId="24" applyFont="1" applyFill="1" applyBorder="1" applyProtection="1">
      <protection hidden="1"/>
    </xf>
    <xf numFmtId="0" fontId="22" fillId="7" borderId="0" xfId="24" applyFont="1" applyFill="1" applyBorder="1" applyAlignment="1" applyProtection="1">
      <alignment horizontal="center"/>
      <protection hidden="1"/>
    </xf>
    <xf numFmtId="0" fontId="22" fillId="7" borderId="0" xfId="24" applyFont="1" applyFill="1" applyAlignment="1" applyProtection="1">
      <alignment horizontal="center"/>
      <protection hidden="1"/>
    </xf>
    <xf numFmtId="0" fontId="19" fillId="0" borderId="12" xfId="24" applyFont="1" applyFill="1" applyBorder="1" applyAlignment="1" applyProtection="1">
      <alignment horizontal="center" wrapText="1"/>
      <protection hidden="1"/>
    </xf>
    <xf numFmtId="0" fontId="19" fillId="2" borderId="4" xfId="24" applyFont="1" applyFill="1" applyBorder="1" applyAlignment="1" applyProtection="1">
      <alignment horizontal="center"/>
      <protection hidden="1"/>
    </xf>
    <xf numFmtId="0" fontId="19" fillId="2" borderId="33" xfId="24" applyFont="1" applyFill="1" applyBorder="1" applyAlignment="1" applyProtection="1">
      <alignment horizontal="center" wrapText="1"/>
      <protection hidden="1"/>
    </xf>
    <xf numFmtId="0" fontId="47" fillId="2" borderId="34" xfId="24" applyFont="1" applyFill="1" applyBorder="1" applyAlignment="1" applyProtection="1">
      <alignment horizontal="center" wrapText="1"/>
      <protection hidden="1"/>
    </xf>
    <xf numFmtId="0" fontId="44" fillId="2" borderId="12" xfId="24" applyFont="1" applyFill="1" applyBorder="1" applyAlignment="1" applyProtection="1">
      <alignment horizontal="center" wrapText="1"/>
      <protection hidden="1"/>
    </xf>
    <xf numFmtId="165" fontId="44" fillId="2" borderId="12" xfId="24" applyNumberFormat="1" applyFont="1" applyFill="1" applyBorder="1" applyAlignment="1" applyProtection="1">
      <alignment horizontal="center" wrapText="1"/>
      <protection hidden="1"/>
    </xf>
    <xf numFmtId="0" fontId="19" fillId="2" borderId="12" xfId="24" applyFont="1" applyFill="1" applyBorder="1" applyAlignment="1" applyProtection="1">
      <alignment horizontal="center"/>
      <protection hidden="1"/>
    </xf>
    <xf numFmtId="0" fontId="19" fillId="2" borderId="0" xfId="24" applyFont="1" applyFill="1" applyBorder="1" applyAlignment="1" applyProtection="1">
      <alignment horizontal="center" wrapText="1"/>
      <protection hidden="1"/>
    </xf>
    <xf numFmtId="0" fontId="19" fillId="2" borderId="55" xfId="24" applyFont="1" applyFill="1" applyBorder="1" applyAlignment="1" applyProtection="1">
      <alignment horizontal="center" wrapText="1"/>
      <protection hidden="1"/>
    </xf>
    <xf numFmtId="0" fontId="19" fillId="2" borderId="35" xfId="24" applyFont="1" applyFill="1" applyBorder="1" applyAlignment="1" applyProtection="1">
      <alignment horizontal="center" wrapText="1"/>
      <protection hidden="1"/>
    </xf>
    <xf numFmtId="0" fontId="47" fillId="2" borderId="36" xfId="24" applyFont="1" applyFill="1" applyBorder="1" applyAlignment="1" applyProtection="1">
      <alignment horizontal="center" wrapText="1"/>
      <protection hidden="1"/>
    </xf>
    <xf numFmtId="0" fontId="47" fillId="0" borderId="0" xfId="24" applyFont="1" applyAlignment="1" applyProtection="1">
      <protection hidden="1"/>
    </xf>
    <xf numFmtId="168" fontId="18" fillId="0" borderId="12" xfId="24" applyNumberFormat="1" applyFont="1" applyFill="1" applyBorder="1" applyAlignment="1" applyProtection="1">
      <alignment horizontal="center"/>
      <protection hidden="1"/>
    </xf>
    <xf numFmtId="0" fontId="18" fillId="0" borderId="12" xfId="24" applyFont="1" applyFill="1" applyBorder="1" applyAlignment="1" applyProtection="1">
      <alignment horizontal="center"/>
      <protection hidden="1"/>
    </xf>
    <xf numFmtId="165" fontId="18" fillId="0" borderId="1" xfId="24" applyNumberFormat="1" applyFont="1" applyFill="1" applyBorder="1" applyAlignment="1" applyProtection="1">
      <alignment horizontal="center"/>
      <protection hidden="1"/>
    </xf>
    <xf numFmtId="0" fontId="18" fillId="0" borderId="12" xfId="24" applyFont="1" applyFill="1" applyBorder="1" applyAlignment="1" applyProtection="1">
      <alignment horizontal="left"/>
      <protection hidden="1"/>
    </xf>
    <xf numFmtId="9" fontId="18" fillId="0" borderId="1" xfId="24" applyNumberFormat="1" applyFont="1" applyFill="1" applyBorder="1" applyAlignment="1" applyProtection="1">
      <alignment horizontal="left"/>
      <protection hidden="1"/>
    </xf>
    <xf numFmtId="165" fontId="18" fillId="0" borderId="0" xfId="24" applyNumberFormat="1" applyFont="1" applyFill="1" applyBorder="1" applyAlignment="1" applyProtection="1">
      <alignment horizontal="center" wrapText="1"/>
      <protection hidden="1"/>
    </xf>
    <xf numFmtId="169" fontId="47" fillId="0" borderId="52" xfId="24" applyNumberFormat="1" applyFont="1" applyBorder="1" applyAlignment="1" applyProtection="1">
      <alignment horizontal="left"/>
      <protection hidden="1"/>
    </xf>
    <xf numFmtId="169" fontId="47" fillId="0" borderId="38" xfId="24" applyNumberFormat="1" applyFont="1" applyBorder="1" applyAlignment="1" applyProtection="1">
      <alignment horizontal="left"/>
      <protection hidden="1"/>
    </xf>
    <xf numFmtId="165" fontId="18" fillId="0" borderId="74" xfId="24" applyNumberFormat="1" applyFont="1" applyFill="1" applyBorder="1" applyAlignment="1" applyProtection="1">
      <alignment horizontal="center" wrapText="1"/>
      <protection hidden="1"/>
    </xf>
    <xf numFmtId="0" fontId="18" fillId="0" borderId="71" xfId="24" applyFont="1" applyFill="1" applyBorder="1" applyAlignment="1" applyProtection="1">
      <alignment horizontal="center"/>
      <protection hidden="1"/>
    </xf>
    <xf numFmtId="165" fontId="18" fillId="0" borderId="75" xfId="24" applyNumberFormat="1" applyFont="1" applyFill="1" applyBorder="1" applyAlignment="1" applyProtection="1">
      <alignment horizontal="center" wrapText="1"/>
      <protection hidden="1"/>
    </xf>
    <xf numFmtId="0" fontId="18" fillId="0" borderId="79" xfId="24" applyFont="1" applyBorder="1" applyAlignment="1" applyProtection="1">
      <protection hidden="1"/>
    </xf>
    <xf numFmtId="0" fontId="18" fillId="0" borderId="0" xfId="24" applyFont="1" applyFill="1" applyBorder="1" applyAlignment="1" applyProtection="1">
      <alignment horizontal="center"/>
      <protection hidden="1"/>
    </xf>
    <xf numFmtId="165" fontId="18" fillId="0" borderId="58" xfId="24" applyNumberFormat="1" applyFont="1" applyFill="1" applyBorder="1" applyAlignment="1" applyProtection="1">
      <alignment horizontal="center" wrapText="1"/>
      <protection hidden="1"/>
    </xf>
    <xf numFmtId="0" fontId="18" fillId="0" borderId="78" xfId="24" applyFont="1" applyBorder="1" applyAlignment="1" applyProtection="1">
      <protection hidden="1"/>
    </xf>
    <xf numFmtId="0" fontId="18" fillId="0" borderId="77" xfId="24" applyFont="1" applyBorder="1" applyAlignment="1" applyProtection="1">
      <protection hidden="1"/>
    </xf>
    <xf numFmtId="165" fontId="18" fillId="0" borderId="15" xfId="24" applyNumberFormat="1" applyFont="1" applyFill="1" applyBorder="1" applyAlignment="1" applyProtection="1">
      <alignment horizontal="center" wrapText="1"/>
      <protection hidden="1"/>
    </xf>
    <xf numFmtId="168" fontId="18" fillId="0" borderId="12" xfId="24" applyNumberFormat="1" applyFont="1" applyFill="1" applyBorder="1" applyAlignment="1" applyProtection="1">
      <alignment horizontal="center" wrapText="1"/>
      <protection hidden="1"/>
    </xf>
    <xf numFmtId="0" fontId="18" fillId="0" borderId="12" xfId="24" applyFont="1" applyFill="1" applyBorder="1" applyAlignment="1" applyProtection="1">
      <alignment horizontal="center" wrapText="1"/>
      <protection hidden="1"/>
    </xf>
    <xf numFmtId="0" fontId="18" fillId="0" borderId="12" xfId="24" applyFont="1" applyFill="1" applyBorder="1" applyAlignment="1" applyProtection="1">
      <alignment horizontal="left" wrapText="1"/>
      <protection hidden="1"/>
    </xf>
    <xf numFmtId="0" fontId="18" fillId="0" borderId="1" xfId="24" applyFont="1" applyFill="1" applyBorder="1" applyAlignment="1" applyProtection="1">
      <alignment horizontal="left" wrapText="1"/>
      <protection hidden="1"/>
    </xf>
    <xf numFmtId="0" fontId="18" fillId="0" borderId="70" xfId="24" applyFont="1" applyFill="1" applyBorder="1" applyAlignment="1" applyProtection="1">
      <alignment horizontal="left" wrapText="1"/>
      <protection hidden="1"/>
    </xf>
    <xf numFmtId="0" fontId="18" fillId="0" borderId="70" xfId="24" applyFont="1" applyFill="1" applyBorder="1" applyAlignment="1" applyProtection="1">
      <alignment horizontal="left"/>
      <protection hidden="1"/>
    </xf>
    <xf numFmtId="0" fontId="18" fillId="0" borderId="0" xfId="0" applyFont="1" applyBorder="1" applyAlignment="1"/>
    <xf numFmtId="0" fontId="18" fillId="0" borderId="15" xfId="24" applyFont="1" applyFill="1" applyBorder="1" applyAlignment="1" applyProtection="1">
      <alignment horizontal="left"/>
      <protection hidden="1"/>
    </xf>
    <xf numFmtId="1" fontId="39" fillId="9" borderId="8" xfId="17" applyNumberFormat="1" applyFont="1" applyFill="1" applyBorder="1" applyAlignment="1" applyProtection="1">
      <alignment horizontal="center" vertical="center" wrapText="1"/>
    </xf>
    <xf numFmtId="0" fontId="39" fillId="14" borderId="8" xfId="17" applyNumberFormat="1" applyFont="1" applyFill="1" applyBorder="1" applyAlignment="1" applyProtection="1">
      <alignment horizontal="center" vertical="center" wrapText="1"/>
      <protection hidden="1"/>
    </xf>
    <xf numFmtId="0" fontId="5" fillId="6" borderId="57" xfId="0" applyNumberFormat="1" applyFont="1" applyFill="1" applyBorder="1" applyAlignment="1" applyProtection="1">
      <alignment horizontal="center" vertical="center" shrinkToFit="1"/>
      <protection hidden="1"/>
    </xf>
    <xf numFmtId="0" fontId="5" fillId="8" borderId="58"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horizontal="center" vertical="center" shrinkToFit="1"/>
      <protection hidden="1"/>
    </xf>
    <xf numFmtId="0" fontId="5" fillId="6" borderId="58"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horizontal="center" vertical="center" shrinkToFit="1"/>
      <protection hidden="1"/>
    </xf>
    <xf numFmtId="0" fontId="5" fillId="8" borderId="58" xfId="0" applyFont="1" applyFill="1" applyBorder="1" applyAlignment="1" applyProtection="1">
      <alignment horizontal="center" vertical="center" shrinkToFit="1"/>
      <protection locked="0"/>
    </xf>
    <xf numFmtId="0" fontId="5" fillId="6" borderId="58" xfId="0" applyFont="1" applyFill="1" applyBorder="1" applyAlignment="1" applyProtection="1">
      <alignment horizontal="center" vertical="center" shrinkToFit="1"/>
      <protection locked="0"/>
    </xf>
    <xf numFmtId="0" fontId="5" fillId="3" borderId="58" xfId="0" applyFont="1" applyFill="1" applyBorder="1" applyAlignment="1" applyProtection="1">
      <alignment horizontal="center" vertical="center" shrinkToFit="1"/>
      <protection locked="0"/>
    </xf>
    <xf numFmtId="0" fontId="5" fillId="8" borderId="60" xfId="0" applyFont="1" applyFill="1" applyBorder="1" applyAlignment="1" applyProtection="1">
      <alignment horizontal="center" vertical="center" shrinkToFit="1"/>
      <protection locked="0"/>
    </xf>
    <xf numFmtId="0" fontId="5" fillId="6" borderId="57" xfId="0" applyFont="1" applyFill="1" applyBorder="1" applyAlignment="1" applyProtection="1">
      <alignment horizontal="center" vertical="center" shrinkToFit="1"/>
      <protection locked="0"/>
    </xf>
    <xf numFmtId="0" fontId="5" fillId="0" borderId="13" xfId="17" applyFont="1" applyFill="1" applyBorder="1" applyAlignment="1" applyProtection="1">
      <alignment horizontal="center" vertical="center" shrinkToFit="1"/>
      <protection locked="0"/>
    </xf>
    <xf numFmtId="1" fontId="32" fillId="9" borderId="26" xfId="17" applyNumberFormat="1" applyFont="1" applyFill="1" applyBorder="1" applyAlignment="1" applyProtection="1">
      <alignment horizontal="right" wrapText="1"/>
    </xf>
    <xf numFmtId="0" fontId="23" fillId="3" borderId="105" xfId="0" applyFont="1" applyFill="1" applyBorder="1" applyAlignment="1" applyProtection="1">
      <alignment horizontal="center"/>
      <protection locked="0"/>
    </xf>
    <xf numFmtId="0" fontId="23" fillId="3" borderId="105" xfId="0" applyFont="1" applyFill="1" applyBorder="1" applyAlignment="1" applyProtection="1">
      <protection locked="0"/>
    </xf>
    <xf numFmtId="0" fontId="13" fillId="0" borderId="0" xfId="17" applyFont="1" applyFill="1" applyBorder="1" applyAlignment="1" applyProtection="1">
      <alignment horizontal="center" vertical="top"/>
    </xf>
    <xf numFmtId="178" fontId="0" fillId="0" borderId="0" xfId="0" applyNumberFormat="1"/>
    <xf numFmtId="179" fontId="0" fillId="0" borderId="0" xfId="0" applyNumberFormat="1"/>
    <xf numFmtId="0" fontId="5" fillId="3" borderId="85" xfId="0" applyFont="1" applyFill="1" applyBorder="1" applyAlignment="1" applyProtection="1">
      <alignment horizontal="center" vertical="center" shrinkToFit="1"/>
      <protection locked="0"/>
    </xf>
    <xf numFmtId="0" fontId="5" fillId="3" borderId="49" xfId="0" applyFont="1" applyFill="1" applyBorder="1" applyAlignment="1" applyProtection="1">
      <alignment horizontal="center" vertical="center" shrinkToFit="1"/>
      <protection locked="0"/>
    </xf>
    <xf numFmtId="0" fontId="5" fillId="8" borderId="92" xfId="0" applyFont="1" applyFill="1" applyBorder="1" applyAlignment="1" applyProtection="1">
      <alignment horizontal="center" vertical="center" shrinkToFit="1"/>
      <protection locked="0"/>
    </xf>
    <xf numFmtId="0" fontId="5" fillId="8" borderId="54" xfId="0" applyFont="1" applyFill="1" applyBorder="1" applyAlignment="1" applyProtection="1">
      <alignment horizontal="center" vertical="center" shrinkToFit="1"/>
      <protection locked="0"/>
    </xf>
    <xf numFmtId="0" fontId="5" fillId="8" borderId="85" xfId="0" applyFont="1" applyFill="1" applyBorder="1" applyAlignment="1" applyProtection="1">
      <alignment horizontal="center" vertical="center" shrinkToFit="1"/>
      <protection locked="0"/>
    </xf>
    <xf numFmtId="0" fontId="5" fillId="8" borderId="49" xfId="0" applyFont="1" applyFill="1" applyBorder="1" applyAlignment="1" applyProtection="1">
      <alignment horizontal="center" vertical="center" shrinkToFit="1"/>
      <protection locked="0"/>
    </xf>
    <xf numFmtId="0" fontId="5" fillId="6" borderId="85" xfId="0" applyFont="1" applyFill="1" applyBorder="1" applyAlignment="1" applyProtection="1">
      <alignment horizontal="center" vertical="center" shrinkToFit="1"/>
      <protection locked="0"/>
    </xf>
    <xf numFmtId="0" fontId="5" fillId="6" borderId="49" xfId="0" applyFont="1" applyFill="1" applyBorder="1" applyAlignment="1" applyProtection="1">
      <alignment horizontal="center" vertical="center" shrinkToFit="1"/>
      <protection locked="0"/>
    </xf>
    <xf numFmtId="0" fontId="44" fillId="9" borderId="26" xfId="19" applyFont="1" applyFill="1" applyBorder="1" applyAlignment="1" applyProtection="1">
      <alignment horizontal="left" vertical="center"/>
    </xf>
    <xf numFmtId="0" fontId="44" fillId="9" borderId="31" xfId="19" applyFont="1" applyFill="1" applyBorder="1" applyAlignment="1" applyProtection="1">
      <alignment horizontal="left" vertical="center"/>
    </xf>
    <xf numFmtId="0" fontId="44" fillId="9" borderId="27" xfId="19" applyFont="1" applyFill="1" applyBorder="1" applyAlignment="1" applyProtection="1">
      <alignment horizontal="left" vertical="center"/>
    </xf>
    <xf numFmtId="0" fontId="1" fillId="3" borderId="97" xfId="17" applyFont="1" applyFill="1" applyBorder="1" applyAlignment="1" applyProtection="1">
      <alignment vertical="top" wrapText="1"/>
    </xf>
    <xf numFmtId="0" fontId="1" fillId="3" borderId="18" xfId="17" applyFont="1" applyFill="1" applyBorder="1" applyAlignment="1" applyProtection="1">
      <alignment vertical="top" wrapText="1"/>
    </xf>
    <xf numFmtId="0" fontId="1" fillId="3" borderId="98" xfId="17" applyFont="1" applyFill="1" applyBorder="1" applyAlignment="1" applyProtection="1">
      <alignment vertical="top" wrapText="1"/>
    </xf>
    <xf numFmtId="0" fontId="45" fillId="9" borderId="61" xfId="17" applyFont="1" applyFill="1" applyBorder="1" applyAlignment="1" applyProtection="1">
      <alignment horizontal="center" vertical="center" textRotation="90" wrapText="1"/>
    </xf>
    <xf numFmtId="0" fontId="45" fillId="9" borderId="94" xfId="17" applyFont="1" applyFill="1" applyBorder="1" applyAlignment="1" applyProtection="1">
      <alignment horizontal="center" vertical="center" textRotation="90" wrapText="1"/>
    </xf>
    <xf numFmtId="0" fontId="45" fillId="9" borderId="14" xfId="17" applyFont="1" applyFill="1" applyBorder="1" applyAlignment="1" applyProtection="1">
      <alignment horizontal="center" vertical="center" textRotation="90" wrapText="1"/>
    </xf>
    <xf numFmtId="165" fontId="42" fillId="9" borderId="0" xfId="17" applyNumberFormat="1" applyFont="1" applyFill="1" applyBorder="1" applyAlignment="1" applyProtection="1">
      <alignment horizontal="center"/>
    </xf>
    <xf numFmtId="165" fontId="42" fillId="9" borderId="21" xfId="17" applyNumberFormat="1" applyFont="1" applyFill="1" applyBorder="1" applyAlignment="1" applyProtection="1">
      <alignment horizontal="center"/>
    </xf>
    <xf numFmtId="165" fontId="41" fillId="9" borderId="0" xfId="0" applyNumberFormat="1" applyFont="1" applyFill="1" applyBorder="1" applyAlignment="1" applyProtection="1">
      <alignment horizontal="center"/>
    </xf>
    <xf numFmtId="165" fontId="41" fillId="9" borderId="21" xfId="0" applyNumberFormat="1" applyFont="1" applyFill="1" applyBorder="1" applyAlignment="1" applyProtection="1">
      <alignment horizontal="center"/>
    </xf>
    <xf numFmtId="165" fontId="42" fillId="9" borderId="0" xfId="0" applyNumberFormat="1" applyFont="1" applyFill="1" applyBorder="1" applyAlignment="1" applyProtection="1">
      <alignment horizontal="center"/>
    </xf>
    <xf numFmtId="165" fontId="42" fillId="9" borderId="21" xfId="0" applyNumberFormat="1" applyFont="1" applyFill="1" applyBorder="1" applyAlignment="1" applyProtection="1">
      <alignment horizontal="center"/>
    </xf>
    <xf numFmtId="0" fontId="5" fillId="4" borderId="58" xfId="0" applyFont="1" applyFill="1" applyBorder="1" applyAlignment="1" applyProtection="1">
      <alignment horizontal="center" vertical="center" shrinkToFit="1"/>
      <protection locked="0"/>
    </xf>
    <xf numFmtId="0" fontId="0" fillId="0" borderId="85" xfId="0" applyBorder="1" applyAlignment="1" applyProtection="1">
      <alignment vertical="center"/>
      <protection locked="0"/>
    </xf>
    <xf numFmtId="0" fontId="5" fillId="0" borderId="60" xfId="0" applyFont="1" applyFill="1" applyBorder="1" applyAlignment="1" applyProtection="1">
      <alignment horizontal="center" vertical="center" shrinkToFit="1"/>
      <protection locked="0"/>
    </xf>
    <xf numFmtId="0" fontId="0" fillId="0" borderId="92" xfId="0" applyFill="1" applyBorder="1" applyAlignment="1" applyProtection="1">
      <alignment vertical="center"/>
      <protection locked="0"/>
    </xf>
    <xf numFmtId="0" fontId="5" fillId="5" borderId="58" xfId="0" applyFont="1" applyFill="1" applyBorder="1" applyAlignment="1" applyProtection="1">
      <alignment horizontal="center" vertical="center" shrinkToFit="1"/>
      <protection locked="0"/>
    </xf>
    <xf numFmtId="0" fontId="5" fillId="5" borderId="85" xfId="0" applyFont="1" applyFill="1" applyBorder="1" applyAlignment="1" applyProtection="1">
      <alignment horizontal="center" vertical="center" shrinkToFit="1"/>
      <protection locked="0"/>
    </xf>
    <xf numFmtId="0" fontId="5" fillId="3" borderId="58" xfId="17" applyFont="1" applyFill="1" applyBorder="1" applyAlignment="1" applyProtection="1">
      <alignment horizontal="left" vertical="center" shrinkToFit="1"/>
      <protection locked="0"/>
    </xf>
    <xf numFmtId="0" fontId="5" fillId="3" borderId="49" xfId="17" applyFont="1" applyFill="1" applyBorder="1" applyAlignment="1" applyProtection="1">
      <alignment horizontal="left" vertical="center" shrinkToFit="1"/>
      <protection locked="0"/>
    </xf>
    <xf numFmtId="0" fontId="5" fillId="4" borderId="58" xfId="17" applyFont="1" applyFill="1" applyBorder="1" applyAlignment="1" applyProtection="1">
      <alignment horizontal="left" vertical="center" shrinkToFit="1"/>
      <protection locked="0"/>
    </xf>
    <xf numFmtId="0" fontId="5" fillId="4" borderId="49" xfId="17" applyFont="1" applyFill="1" applyBorder="1" applyAlignment="1" applyProtection="1">
      <alignment horizontal="left" vertical="center" shrinkToFit="1"/>
      <protection locked="0"/>
    </xf>
    <xf numFmtId="0" fontId="5" fillId="6" borderId="58" xfId="17" applyFont="1" applyFill="1" applyBorder="1" applyAlignment="1" applyProtection="1">
      <alignment horizontal="left" vertical="center" shrinkToFit="1"/>
      <protection locked="0"/>
    </xf>
    <xf numFmtId="0" fontId="5" fillId="6" borderId="49" xfId="17" applyFont="1" applyFill="1" applyBorder="1" applyAlignment="1" applyProtection="1">
      <alignment horizontal="left" vertical="center" shrinkToFit="1"/>
      <protection locked="0"/>
    </xf>
    <xf numFmtId="1" fontId="27" fillId="3" borderId="16" xfId="17" applyNumberFormat="1" applyFont="1" applyFill="1" applyBorder="1" applyAlignment="1" applyProtection="1">
      <alignment horizontal="center" vertical="center" shrinkToFit="1"/>
      <protection locked="0"/>
    </xf>
    <xf numFmtId="1" fontId="27" fillId="3" borderId="85" xfId="17" applyNumberFormat="1" applyFont="1" applyFill="1" applyBorder="1" applyAlignment="1" applyProtection="1">
      <alignment horizontal="center" vertical="center" shrinkToFit="1"/>
      <protection locked="0"/>
    </xf>
    <xf numFmtId="1" fontId="27" fillId="3" borderId="49" xfId="17" applyNumberFormat="1" applyFont="1" applyFill="1" applyBorder="1" applyAlignment="1" applyProtection="1">
      <alignment horizontal="center" vertical="center" shrinkToFit="1"/>
      <protection locked="0"/>
    </xf>
    <xf numFmtId="0" fontId="1" fillId="3" borderId="95" xfId="17" applyFont="1" applyFill="1" applyBorder="1" applyAlignment="1" applyProtection="1">
      <alignment vertical="top" wrapText="1"/>
      <protection locked="0"/>
    </xf>
    <xf numFmtId="0" fontId="1" fillId="3" borderId="24" xfId="17" applyFont="1" applyFill="1" applyBorder="1" applyAlignment="1" applyProtection="1">
      <alignment vertical="top" wrapText="1"/>
      <protection locked="0"/>
    </xf>
    <xf numFmtId="0" fontId="1" fillId="3" borderId="96" xfId="17" applyFont="1" applyFill="1" applyBorder="1" applyAlignment="1" applyProtection="1">
      <alignment vertical="top" wrapText="1"/>
      <protection locked="0"/>
    </xf>
    <xf numFmtId="172" fontId="23" fillId="3" borderId="94" xfId="0" applyNumberFormat="1" applyFont="1" applyFill="1" applyBorder="1" applyAlignment="1" applyProtection="1">
      <alignment horizontal="center"/>
    </xf>
    <xf numFmtId="172" fontId="23" fillId="3" borderId="14" xfId="0" applyNumberFormat="1" applyFont="1" applyFill="1" applyBorder="1" applyAlignment="1" applyProtection="1">
      <alignment horizontal="center"/>
    </xf>
    <xf numFmtId="0" fontId="0" fillId="3" borderId="66" xfId="17" applyFont="1" applyFill="1" applyBorder="1" applyAlignment="1" applyProtection="1">
      <alignment vertical="top" wrapText="1"/>
      <protection locked="0"/>
    </xf>
    <xf numFmtId="0" fontId="0" fillId="3" borderId="0" xfId="17" applyFont="1" applyFill="1" applyBorder="1" applyAlignment="1" applyProtection="1">
      <alignment vertical="top" wrapText="1"/>
      <protection locked="0"/>
    </xf>
    <xf numFmtId="0" fontId="1" fillId="3" borderId="78" xfId="17" applyFont="1" applyFill="1" applyBorder="1" applyAlignment="1" applyProtection="1">
      <alignment vertical="top" wrapText="1"/>
      <protection locked="0"/>
    </xf>
    <xf numFmtId="0" fontId="1" fillId="3" borderId="66" xfId="17" applyFont="1" applyFill="1" applyBorder="1" applyAlignment="1" applyProtection="1">
      <alignment vertical="top" wrapText="1"/>
      <protection locked="0"/>
    </xf>
    <xf numFmtId="0" fontId="1" fillId="3" borderId="0" xfId="17" applyFont="1" applyFill="1" applyBorder="1" applyAlignment="1" applyProtection="1">
      <alignment vertical="top" wrapText="1"/>
      <protection locked="0"/>
    </xf>
    <xf numFmtId="0" fontId="5" fillId="8" borderId="58" xfId="0" applyFont="1" applyFill="1" applyBorder="1" applyAlignment="1" applyProtection="1">
      <alignment horizontal="center" vertical="center" shrinkToFit="1"/>
      <protection locked="0"/>
    </xf>
    <xf numFmtId="0" fontId="5" fillId="6" borderId="58" xfId="0" applyFont="1" applyFill="1" applyBorder="1" applyAlignment="1" applyProtection="1">
      <alignment horizontal="center" vertical="center" shrinkToFit="1"/>
      <protection locked="0"/>
    </xf>
    <xf numFmtId="0" fontId="5" fillId="3" borderId="58" xfId="0" applyFont="1" applyFill="1" applyBorder="1" applyAlignment="1" applyProtection="1">
      <alignment horizontal="center" vertical="center" shrinkToFit="1"/>
      <protection locked="0"/>
    </xf>
    <xf numFmtId="0" fontId="5" fillId="8" borderId="60" xfId="0" applyFont="1" applyFill="1" applyBorder="1" applyAlignment="1" applyProtection="1">
      <alignment horizontal="center" vertical="center" shrinkToFit="1"/>
      <protection locked="0"/>
    </xf>
    <xf numFmtId="1" fontId="52" fillId="9" borderId="32" xfId="17" applyNumberFormat="1" applyFont="1" applyFill="1" applyBorder="1" applyAlignment="1" applyProtection="1">
      <alignment horizontal="right"/>
    </xf>
    <xf numFmtId="1" fontId="52" fillId="9" borderId="18" xfId="17" applyNumberFormat="1" applyFont="1" applyFill="1" applyBorder="1" applyAlignment="1" applyProtection="1">
      <alignment horizontal="right"/>
    </xf>
    <xf numFmtId="1" fontId="52" fillId="9" borderId="19" xfId="17" applyNumberFormat="1" applyFont="1" applyFill="1" applyBorder="1" applyAlignment="1" applyProtection="1">
      <alignment horizontal="right"/>
    </xf>
    <xf numFmtId="1" fontId="52" fillId="9" borderId="23" xfId="17" applyNumberFormat="1" applyFont="1" applyFill="1" applyBorder="1" applyAlignment="1" applyProtection="1">
      <alignment horizontal="right"/>
    </xf>
    <xf numFmtId="1" fontId="52" fillId="9" borderId="24" xfId="17" applyNumberFormat="1" applyFont="1" applyFill="1" applyBorder="1" applyAlignment="1" applyProtection="1">
      <alignment horizontal="right"/>
    </xf>
    <xf numFmtId="1" fontId="52" fillId="9" borderId="41" xfId="17" applyNumberFormat="1" applyFont="1" applyFill="1" applyBorder="1" applyAlignment="1" applyProtection="1">
      <alignment horizontal="right"/>
    </xf>
    <xf numFmtId="49" fontId="5" fillId="4" borderId="16" xfId="17" applyNumberFormat="1" applyFont="1" applyFill="1" applyBorder="1" applyAlignment="1" applyProtection="1">
      <alignment horizontal="left" vertical="center" shrinkToFit="1"/>
      <protection locked="0"/>
    </xf>
    <xf numFmtId="49" fontId="5" fillId="4" borderId="49" xfId="17" applyNumberFormat="1" applyFont="1" applyFill="1" applyBorder="1" applyAlignment="1" applyProtection="1">
      <alignment horizontal="left" vertical="center" shrinkToFit="1"/>
      <protection locked="0"/>
    </xf>
    <xf numFmtId="49" fontId="5" fillId="3" borderId="16" xfId="17" applyNumberFormat="1" applyFont="1" applyFill="1" applyBorder="1" applyAlignment="1" applyProtection="1">
      <alignment horizontal="left" vertical="center" shrinkToFit="1"/>
      <protection locked="0"/>
    </xf>
    <xf numFmtId="49" fontId="5" fillId="3" borderId="49" xfId="17" applyNumberFormat="1" applyFont="1" applyFill="1" applyBorder="1" applyAlignment="1" applyProtection="1">
      <alignment horizontal="left" vertical="center" shrinkToFit="1"/>
      <protection locked="0"/>
    </xf>
    <xf numFmtId="49" fontId="5" fillId="6" borderId="16" xfId="17" applyNumberFormat="1" applyFont="1" applyFill="1" applyBorder="1" applyAlignment="1" applyProtection="1">
      <alignment horizontal="left" vertical="center" shrinkToFit="1"/>
      <protection locked="0"/>
    </xf>
    <xf numFmtId="49" fontId="5" fillId="6" borderId="49" xfId="17" applyNumberFormat="1" applyFont="1" applyFill="1" applyBorder="1" applyAlignment="1" applyProtection="1">
      <alignment horizontal="left" vertical="center" shrinkToFit="1"/>
      <protection locked="0"/>
    </xf>
    <xf numFmtId="1" fontId="41" fillId="9" borderId="26" xfId="17" applyNumberFormat="1" applyFont="1" applyFill="1" applyBorder="1" applyAlignment="1" applyProtection="1">
      <alignment horizontal="left"/>
    </xf>
    <xf numFmtId="0" fontId="40" fillId="9" borderId="27" xfId="0" applyFont="1" applyFill="1" applyBorder="1" applyProtection="1"/>
    <xf numFmtId="10" fontId="41" fillId="9" borderId="31" xfId="17" applyNumberFormat="1" applyFont="1" applyFill="1" applyBorder="1" applyAlignment="1" applyProtection="1">
      <alignment horizontal="center"/>
    </xf>
    <xf numFmtId="1" fontId="39" fillId="9" borderId="8" xfId="17" applyNumberFormat="1" applyFont="1" applyFill="1" applyBorder="1" applyAlignment="1" applyProtection="1">
      <alignment horizontal="center" vertical="center" wrapText="1"/>
    </xf>
    <xf numFmtId="0" fontId="40" fillId="9" borderId="31" xfId="0" applyFont="1" applyFill="1" applyBorder="1"/>
    <xf numFmtId="49" fontId="39" fillId="9" borderId="26" xfId="17" applyNumberFormat="1" applyFont="1" applyFill="1" applyBorder="1" applyAlignment="1" applyProtection="1">
      <alignment horizontal="center" vertical="center"/>
    </xf>
    <xf numFmtId="0" fontId="40" fillId="9" borderId="27" xfId="0" applyFont="1" applyFill="1" applyBorder="1"/>
    <xf numFmtId="0" fontId="5" fillId="4" borderId="16" xfId="0" applyFont="1" applyFill="1" applyBorder="1" applyAlignment="1" applyProtection="1">
      <alignment horizontal="center" vertical="center" shrinkToFit="1"/>
      <protection locked="0"/>
    </xf>
    <xf numFmtId="0" fontId="0" fillId="0" borderId="88" xfId="0" applyBorder="1" applyAlignment="1" applyProtection="1">
      <alignment vertical="center"/>
      <protection locked="0"/>
    </xf>
    <xf numFmtId="1" fontId="39" fillId="9" borderId="26" xfId="17" applyNumberFormat="1" applyFont="1" applyFill="1" applyBorder="1" applyAlignment="1" applyProtection="1">
      <alignment horizontal="center" vertical="center"/>
    </xf>
    <xf numFmtId="1" fontId="39" fillId="9" borderId="31" xfId="17" applyNumberFormat="1" applyFont="1" applyFill="1" applyBorder="1" applyAlignment="1" applyProtection="1">
      <alignment horizontal="center" vertical="center"/>
    </xf>
    <xf numFmtId="1" fontId="27" fillId="4" borderId="16" xfId="17" applyNumberFormat="1" applyFont="1" applyFill="1" applyBorder="1" applyAlignment="1" applyProtection="1">
      <alignment horizontal="center" vertical="center" shrinkToFit="1"/>
      <protection locked="0"/>
    </xf>
    <xf numFmtId="1" fontId="27" fillId="4" borderId="85" xfId="17" applyNumberFormat="1" applyFont="1" applyFill="1" applyBorder="1" applyAlignment="1" applyProtection="1">
      <alignment horizontal="center" vertical="center" shrinkToFit="1"/>
      <protection locked="0"/>
    </xf>
    <xf numFmtId="1" fontId="27" fillId="4" borderId="49" xfId="17" applyNumberFormat="1" applyFont="1" applyFill="1" applyBorder="1" applyAlignment="1" applyProtection="1">
      <alignment horizontal="center" vertical="center" shrinkToFit="1"/>
      <protection locked="0"/>
    </xf>
    <xf numFmtId="1" fontId="27" fillId="6" borderId="16" xfId="17" applyNumberFormat="1" applyFont="1" applyFill="1" applyBorder="1" applyAlignment="1" applyProtection="1">
      <alignment horizontal="center" vertical="center" shrinkToFit="1"/>
      <protection locked="0"/>
    </xf>
    <xf numFmtId="1" fontId="27" fillId="6" borderId="85" xfId="17" applyNumberFormat="1" applyFont="1" applyFill="1" applyBorder="1" applyAlignment="1" applyProtection="1">
      <alignment horizontal="center" vertical="center" shrinkToFit="1"/>
      <protection locked="0"/>
    </xf>
    <xf numFmtId="1" fontId="27" fillId="6" borderId="49" xfId="17" applyNumberFormat="1" applyFont="1" applyFill="1" applyBorder="1" applyAlignment="1" applyProtection="1">
      <alignment horizontal="center" vertical="center" shrinkToFit="1"/>
      <protection locked="0"/>
    </xf>
    <xf numFmtId="0" fontId="5" fillId="6" borderId="16" xfId="0" applyFont="1" applyFill="1" applyBorder="1" applyAlignment="1" applyProtection="1">
      <alignment horizontal="center" vertical="center" shrinkToFit="1"/>
      <protection locked="0"/>
    </xf>
    <xf numFmtId="0" fontId="5" fillId="6" borderId="88" xfId="0" applyFont="1" applyFill="1" applyBorder="1" applyAlignment="1" applyProtection="1">
      <alignment horizontal="center" vertical="center" shrinkToFit="1"/>
      <protection locked="0"/>
    </xf>
    <xf numFmtId="0" fontId="23" fillId="3" borderId="26" xfId="0" applyFont="1" applyFill="1" applyBorder="1" applyAlignment="1" applyProtection="1">
      <alignment horizontal="center" vertical="center"/>
    </xf>
    <xf numFmtId="0" fontId="23" fillId="3" borderId="31" xfId="0" applyFont="1" applyFill="1" applyBorder="1" applyAlignment="1" applyProtection="1">
      <alignment horizontal="center" vertical="center"/>
    </xf>
    <xf numFmtId="0" fontId="23" fillId="3" borderId="27" xfId="0" applyFont="1" applyFill="1" applyBorder="1" applyAlignment="1" applyProtection="1">
      <alignment horizontal="center" vertical="center"/>
    </xf>
    <xf numFmtId="0" fontId="5" fillId="6" borderId="59" xfId="0" applyFont="1" applyFill="1" applyBorder="1" applyAlignment="1" applyProtection="1">
      <alignment horizontal="center" vertical="center" shrinkToFit="1"/>
      <protection locked="0"/>
    </xf>
    <xf numFmtId="0" fontId="0" fillId="0" borderId="93" xfId="0" applyBorder="1" applyAlignment="1" applyProtection="1">
      <alignment vertical="center"/>
      <protection locked="0"/>
    </xf>
    <xf numFmtId="0" fontId="5" fillId="6" borderId="57" xfId="0" applyFont="1" applyFill="1" applyBorder="1" applyAlignment="1" applyProtection="1">
      <alignment horizontal="center" vertical="center" shrinkToFit="1"/>
      <protection locked="0"/>
    </xf>
    <xf numFmtId="0" fontId="0" fillId="0" borderId="91" xfId="0" applyBorder="1" applyAlignment="1" applyProtection="1">
      <alignment vertical="center"/>
      <protection locked="0"/>
    </xf>
    <xf numFmtId="1" fontId="39" fillId="9" borderId="8" xfId="17" applyNumberFormat="1" applyFont="1" applyFill="1" applyBorder="1" applyAlignment="1" applyProtection="1">
      <alignment horizontal="center" vertical="center" wrapText="1"/>
      <protection hidden="1"/>
    </xf>
    <xf numFmtId="1" fontId="39" fillId="9" borderId="76" xfId="17" applyNumberFormat="1" applyFont="1" applyFill="1" applyBorder="1" applyAlignment="1" applyProtection="1">
      <alignment horizontal="center" vertical="center" wrapText="1"/>
      <protection hidden="1"/>
    </xf>
    <xf numFmtId="0" fontId="5" fillId="6" borderId="53" xfId="0" applyFont="1" applyFill="1" applyBorder="1" applyAlignment="1" applyProtection="1">
      <alignment horizontal="center" vertical="center" shrinkToFit="1"/>
      <protection locked="0"/>
    </xf>
    <xf numFmtId="0" fontId="10" fillId="3" borderId="2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10" fillId="3" borderId="27" xfId="0" applyFont="1" applyFill="1" applyBorder="1" applyAlignment="1" applyProtection="1">
      <alignment horizontal="center" vertical="center"/>
      <protection locked="0"/>
    </xf>
    <xf numFmtId="0" fontId="26" fillId="9" borderId="20" xfId="0" applyFont="1" applyFill="1" applyBorder="1" applyAlignment="1" applyProtection="1">
      <alignment horizontal="left" vertical="center" wrapText="1"/>
      <protection hidden="1"/>
    </xf>
    <xf numFmtId="0" fontId="26" fillId="9" borderId="0" xfId="0" applyFont="1" applyFill="1" applyBorder="1" applyAlignment="1" applyProtection="1">
      <alignment horizontal="left" vertical="center" wrapText="1"/>
      <protection hidden="1"/>
    </xf>
    <xf numFmtId="0" fontId="0" fillId="3" borderId="18" xfId="17" applyFont="1" applyFill="1" applyBorder="1" applyAlignment="1" applyProtection="1">
      <alignment horizontal="left" vertical="top" wrapText="1"/>
    </xf>
    <xf numFmtId="0" fontId="0" fillId="3" borderId="19" xfId="17" applyFont="1" applyFill="1" applyBorder="1" applyAlignment="1" applyProtection="1">
      <alignment horizontal="left" vertical="top" wrapText="1"/>
    </xf>
    <xf numFmtId="0" fontId="1" fillId="3" borderId="0" xfId="17" applyFont="1" applyFill="1" applyBorder="1" applyAlignment="1" applyProtection="1">
      <alignment horizontal="left" vertical="top" wrapText="1"/>
      <protection locked="0"/>
    </xf>
    <xf numFmtId="0" fontId="1" fillId="3" borderId="21" xfId="17" applyFont="1" applyFill="1" applyBorder="1" applyAlignment="1" applyProtection="1">
      <alignment horizontal="left" vertical="top" wrapText="1"/>
      <protection locked="0"/>
    </xf>
    <xf numFmtId="0" fontId="1" fillId="3" borderId="24" xfId="17" applyFont="1" applyFill="1" applyBorder="1" applyAlignment="1" applyProtection="1">
      <alignment horizontal="left" vertical="top" wrapText="1"/>
      <protection locked="0"/>
    </xf>
    <xf numFmtId="0" fontId="1" fillId="3" borderId="41" xfId="17" applyFont="1" applyFill="1" applyBorder="1" applyAlignment="1" applyProtection="1">
      <alignment horizontal="left" vertical="top" wrapText="1"/>
      <protection locked="0"/>
    </xf>
    <xf numFmtId="1" fontId="41" fillId="9" borderId="26" xfId="17" applyNumberFormat="1" applyFont="1" applyFill="1" applyBorder="1" applyAlignment="1" applyProtection="1">
      <alignment horizontal="left" wrapText="1"/>
    </xf>
    <xf numFmtId="1" fontId="41" fillId="9" borderId="27" xfId="17" applyNumberFormat="1" applyFont="1" applyFill="1" applyBorder="1" applyAlignment="1" applyProtection="1">
      <alignment horizontal="left" wrapText="1"/>
    </xf>
    <xf numFmtId="0" fontId="0" fillId="3" borderId="32" xfId="17" applyFont="1" applyFill="1" applyBorder="1" applyAlignment="1" applyProtection="1">
      <alignment horizontal="center" vertical="top" wrapText="1"/>
      <protection locked="0"/>
    </xf>
    <xf numFmtId="0" fontId="1" fillId="3" borderId="18" xfId="17" applyFont="1" applyFill="1" applyBorder="1" applyAlignment="1" applyProtection="1">
      <alignment horizontal="center" vertical="top" wrapText="1"/>
      <protection locked="0"/>
    </xf>
    <xf numFmtId="0" fontId="1" fillId="3" borderId="20" xfId="17" applyFont="1" applyFill="1" applyBorder="1" applyAlignment="1" applyProtection="1">
      <alignment horizontal="center" vertical="top" wrapText="1"/>
      <protection locked="0"/>
    </xf>
    <xf numFmtId="0" fontId="1" fillId="3" borderId="0" xfId="17" applyFont="1" applyFill="1" applyBorder="1" applyAlignment="1" applyProtection="1">
      <alignment horizontal="center" vertical="top" wrapText="1"/>
      <protection locked="0"/>
    </xf>
    <xf numFmtId="0" fontId="1" fillId="3" borderId="23" xfId="17" applyFont="1" applyFill="1" applyBorder="1" applyAlignment="1" applyProtection="1">
      <alignment horizontal="center" vertical="top" wrapText="1"/>
      <protection locked="0"/>
    </xf>
    <xf numFmtId="0" fontId="1" fillId="3" borderId="24" xfId="17" applyFont="1" applyFill="1" applyBorder="1" applyAlignment="1" applyProtection="1">
      <alignment horizontal="center" vertical="top" wrapText="1"/>
      <protection locked="0"/>
    </xf>
    <xf numFmtId="1" fontId="27" fillId="4" borderId="17" xfId="17" applyNumberFormat="1" applyFont="1" applyFill="1" applyBorder="1" applyAlignment="1" applyProtection="1">
      <alignment horizontal="center" vertical="center" shrinkToFit="1"/>
      <protection locked="0"/>
    </xf>
    <xf numFmtId="1" fontId="27" fillId="4" borderId="92" xfId="17" applyNumberFormat="1" applyFont="1" applyFill="1" applyBorder="1" applyAlignment="1" applyProtection="1">
      <alignment horizontal="center" vertical="center" shrinkToFit="1"/>
      <protection locked="0"/>
    </xf>
    <xf numFmtId="1" fontId="27" fillId="4" borderId="54" xfId="17" applyNumberFormat="1" applyFont="1" applyFill="1" applyBorder="1" applyAlignment="1" applyProtection="1">
      <alignment horizontal="center" vertical="center" shrinkToFit="1"/>
      <protection locked="0"/>
    </xf>
    <xf numFmtId="0" fontId="5" fillId="0" borderId="60" xfId="17" applyFont="1" applyFill="1" applyBorder="1" applyAlignment="1" applyProtection="1">
      <alignment horizontal="left" vertical="center" shrinkToFit="1"/>
      <protection locked="0"/>
    </xf>
    <xf numFmtId="0" fontId="5" fillId="0" borderId="54" xfId="17" applyFont="1" applyFill="1" applyBorder="1" applyAlignment="1" applyProtection="1">
      <alignment horizontal="left" vertical="center" shrinkToFit="1"/>
      <protection locked="0"/>
    </xf>
    <xf numFmtId="0" fontId="39" fillId="9" borderId="8" xfId="0" applyFont="1" applyFill="1" applyBorder="1" applyAlignment="1" applyProtection="1">
      <alignment vertical="center"/>
    </xf>
    <xf numFmtId="0" fontId="39" fillId="9" borderId="76" xfId="0" applyFont="1" applyFill="1" applyBorder="1" applyAlignment="1" applyProtection="1">
      <alignment vertical="center"/>
    </xf>
    <xf numFmtId="0" fontId="5" fillId="6" borderId="57" xfId="17" applyFont="1" applyFill="1" applyBorder="1" applyAlignment="1" applyProtection="1">
      <alignment horizontal="left" vertical="center" shrinkToFit="1"/>
      <protection locked="0"/>
    </xf>
    <xf numFmtId="0" fontId="5" fillId="6" borderId="53" xfId="17" applyFont="1" applyFill="1" applyBorder="1" applyAlignment="1" applyProtection="1">
      <alignment horizontal="left" vertical="center" shrinkToFit="1"/>
      <protection locked="0"/>
    </xf>
    <xf numFmtId="0" fontId="5" fillId="4" borderId="58" xfId="17" applyFont="1" applyFill="1" applyBorder="1" applyAlignment="1" applyProtection="1">
      <alignment horizontal="center" vertical="center" shrinkToFit="1"/>
      <protection locked="0"/>
    </xf>
    <xf numFmtId="0" fontId="5" fillId="4" borderId="49" xfId="17" applyFont="1" applyFill="1" applyBorder="1" applyAlignment="1" applyProtection="1">
      <alignment horizontal="center" vertical="center" shrinkToFit="1"/>
      <protection locked="0"/>
    </xf>
    <xf numFmtId="0" fontId="5" fillId="3" borderId="58" xfId="17" applyFont="1" applyFill="1" applyBorder="1" applyAlignment="1" applyProtection="1">
      <alignment horizontal="center" vertical="center" shrinkToFit="1"/>
      <protection locked="0"/>
    </xf>
    <xf numFmtId="0" fontId="5" fillId="3" borderId="49" xfId="17" applyFont="1" applyFill="1" applyBorder="1" applyAlignment="1" applyProtection="1">
      <alignment horizontal="center" vertical="center" shrinkToFit="1"/>
      <protection locked="0"/>
    </xf>
    <xf numFmtId="0" fontId="5" fillId="6" borderId="58" xfId="17" applyFont="1" applyFill="1" applyBorder="1" applyAlignment="1" applyProtection="1">
      <alignment horizontal="center" vertical="center" shrinkToFit="1"/>
      <protection locked="0"/>
    </xf>
    <xf numFmtId="0" fontId="5" fillId="6" borderId="49" xfId="17" applyFont="1" applyFill="1" applyBorder="1" applyAlignment="1" applyProtection="1">
      <alignment horizontal="center" vertical="center" shrinkToFit="1"/>
      <protection locked="0"/>
    </xf>
    <xf numFmtId="0" fontId="5" fillId="4" borderId="17" xfId="0" applyFont="1" applyFill="1" applyBorder="1" applyAlignment="1" applyProtection="1">
      <alignment horizontal="center" vertical="center" shrinkToFit="1"/>
      <protection locked="0"/>
    </xf>
    <xf numFmtId="0" fontId="0" fillId="0" borderId="92" xfId="0" applyBorder="1" applyAlignment="1" applyProtection="1">
      <alignment vertical="center"/>
      <protection locked="0"/>
    </xf>
    <xf numFmtId="0" fontId="0" fillId="0" borderId="89" xfId="0" applyBorder="1" applyAlignment="1" applyProtection="1">
      <alignment vertical="center"/>
      <protection locked="0"/>
    </xf>
    <xf numFmtId="0" fontId="5" fillId="3" borderId="16" xfId="0" applyFont="1" applyFill="1" applyBorder="1" applyAlignment="1" applyProtection="1">
      <alignment horizontal="center" vertical="center" shrinkToFit="1"/>
      <protection locked="0"/>
    </xf>
    <xf numFmtId="0" fontId="10" fillId="3" borderId="26" xfId="0" applyFont="1" applyFill="1" applyBorder="1" applyAlignment="1" applyProtection="1">
      <alignment horizontal="center"/>
      <protection locked="0"/>
    </xf>
    <xf numFmtId="0" fontId="10" fillId="3" borderId="31" xfId="0" applyFont="1" applyFill="1" applyBorder="1" applyAlignment="1" applyProtection="1">
      <alignment horizontal="center"/>
      <protection locked="0"/>
    </xf>
    <xf numFmtId="0" fontId="10" fillId="3" borderId="27" xfId="0" applyFont="1" applyFill="1" applyBorder="1" applyAlignment="1" applyProtection="1">
      <alignment horizontal="center"/>
      <protection locked="0"/>
    </xf>
    <xf numFmtId="0" fontId="5" fillId="6" borderId="48" xfId="0" applyFont="1" applyFill="1" applyBorder="1" applyAlignment="1" applyProtection="1">
      <alignment horizontal="center" vertical="center" shrinkToFit="1"/>
      <protection locked="0"/>
    </xf>
    <xf numFmtId="0" fontId="0" fillId="6" borderId="91" xfId="0" applyFill="1" applyBorder="1" applyAlignment="1" applyProtection="1">
      <alignment vertical="center"/>
      <protection locked="0"/>
    </xf>
    <xf numFmtId="0" fontId="0" fillId="6" borderId="90" xfId="0" applyFill="1" applyBorder="1" applyAlignment="1" applyProtection="1">
      <alignment vertical="center"/>
      <protection locked="0"/>
    </xf>
    <xf numFmtId="0" fontId="3" fillId="3" borderId="26" xfId="0" applyFont="1" applyFill="1" applyBorder="1" applyAlignment="1" applyProtection="1">
      <alignment horizontal="center" vertical="center"/>
    </xf>
    <xf numFmtId="0" fontId="3" fillId="3" borderId="31" xfId="0" applyFont="1" applyFill="1" applyBorder="1" applyAlignment="1" applyProtection="1">
      <alignment horizontal="center" vertical="center"/>
    </xf>
    <xf numFmtId="0" fontId="3" fillId="3" borderId="27" xfId="0" applyFont="1" applyFill="1" applyBorder="1" applyAlignment="1" applyProtection="1">
      <alignment horizontal="center" vertical="center"/>
    </xf>
    <xf numFmtId="14" fontId="3" fillId="3" borderId="26" xfId="0" applyNumberFormat="1" applyFont="1" applyFill="1" applyBorder="1" applyAlignment="1" applyProtection="1">
      <alignment horizontal="center" vertical="center"/>
    </xf>
    <xf numFmtId="1" fontId="27" fillId="6" borderId="48" xfId="17" applyNumberFormat="1" applyFont="1" applyFill="1" applyBorder="1" applyAlignment="1" applyProtection="1">
      <alignment horizontal="center" vertical="center" shrinkToFit="1"/>
      <protection locked="0"/>
    </xf>
    <xf numFmtId="1" fontId="27" fillId="6" borderId="91" xfId="17" applyNumberFormat="1" applyFont="1" applyFill="1" applyBorder="1" applyAlignment="1" applyProtection="1">
      <alignment horizontal="center" vertical="center" shrinkToFit="1"/>
      <protection locked="0"/>
    </xf>
    <xf numFmtId="0" fontId="37" fillId="9" borderId="32" xfId="17" applyFont="1" applyFill="1" applyBorder="1" applyAlignment="1" applyProtection="1">
      <alignment horizontal="center" vertical="center" wrapText="1"/>
    </xf>
    <xf numFmtId="0" fontId="38" fillId="9" borderId="18" xfId="0" applyFont="1" applyFill="1" applyBorder="1" applyAlignment="1">
      <alignment vertical="center"/>
    </xf>
    <xf numFmtId="0" fontId="38" fillId="9" borderId="19" xfId="0" applyFont="1" applyFill="1" applyBorder="1" applyAlignment="1">
      <alignment vertical="center"/>
    </xf>
    <xf numFmtId="0" fontId="38" fillId="9" borderId="20" xfId="0" applyFont="1" applyFill="1" applyBorder="1" applyAlignment="1">
      <alignment vertical="center"/>
    </xf>
    <xf numFmtId="0" fontId="38" fillId="9" borderId="0" xfId="0" applyFont="1" applyFill="1" applyAlignment="1">
      <alignment vertical="center"/>
    </xf>
    <xf numFmtId="0" fontId="38" fillId="9" borderId="21" xfId="0" applyFont="1" applyFill="1" applyBorder="1" applyAlignment="1">
      <alignment vertical="center"/>
    </xf>
    <xf numFmtId="0" fontId="38" fillId="9" borderId="23" xfId="0" applyFont="1" applyFill="1" applyBorder="1" applyAlignment="1">
      <alignment vertical="center"/>
    </xf>
    <xf numFmtId="0" fontId="38" fillId="9" borderId="24" xfId="0" applyFont="1" applyFill="1" applyBorder="1" applyAlignment="1">
      <alignment vertical="center"/>
    </xf>
    <xf numFmtId="0" fontId="38" fillId="9" borderId="41" xfId="0" applyFont="1" applyFill="1" applyBorder="1" applyAlignment="1">
      <alignment vertical="center"/>
    </xf>
    <xf numFmtId="0" fontId="39" fillId="9" borderId="31" xfId="0" applyFont="1" applyFill="1" applyBorder="1" applyAlignment="1" applyProtection="1">
      <alignment horizontal="center" vertical="center"/>
    </xf>
    <xf numFmtId="0" fontId="39" fillId="9" borderId="76" xfId="0" applyFont="1" applyFill="1" applyBorder="1" applyAlignment="1" applyProtection="1">
      <alignment horizontal="center" vertical="center"/>
    </xf>
    <xf numFmtId="0" fontId="5" fillId="6" borderId="91" xfId="0" applyFont="1" applyFill="1" applyBorder="1" applyAlignment="1" applyProtection="1">
      <alignment horizontal="center" vertical="center" shrinkToFit="1"/>
      <protection locked="0"/>
    </xf>
    <xf numFmtId="1" fontId="39" fillId="9" borderId="76" xfId="17" applyNumberFormat="1" applyFont="1" applyFill="1" applyBorder="1" applyAlignment="1" applyProtection="1">
      <alignment horizontal="center" vertical="center" wrapText="1"/>
    </xf>
    <xf numFmtId="0" fontId="39" fillId="9" borderId="8" xfId="0" applyFont="1" applyFill="1" applyBorder="1" applyAlignment="1" applyProtection="1">
      <alignment horizontal="center" vertical="center" wrapText="1"/>
    </xf>
    <xf numFmtId="0" fontId="39" fillId="9" borderId="76" xfId="0" applyFont="1" applyFill="1" applyBorder="1" applyAlignment="1" applyProtection="1">
      <alignment horizontal="center" vertical="center" wrapText="1"/>
    </xf>
    <xf numFmtId="0" fontId="5" fillId="6" borderId="57" xfId="17" applyFont="1" applyFill="1" applyBorder="1" applyAlignment="1" applyProtection="1">
      <alignment horizontal="center" vertical="center" shrinkToFit="1"/>
      <protection locked="0"/>
    </xf>
    <xf numFmtId="0" fontId="5" fillId="6" borderId="53" xfId="17" applyFont="1" applyFill="1" applyBorder="1" applyAlignment="1" applyProtection="1">
      <alignment horizontal="center" vertical="center" shrinkToFit="1"/>
      <protection locked="0"/>
    </xf>
    <xf numFmtId="0" fontId="5" fillId="4" borderId="88" xfId="0" applyFont="1" applyFill="1" applyBorder="1" applyAlignment="1" applyProtection="1">
      <alignment horizontal="center" vertical="center" shrinkToFit="1"/>
      <protection locked="0"/>
    </xf>
    <xf numFmtId="0" fontId="5" fillId="3" borderId="88" xfId="0" applyFont="1" applyFill="1" applyBorder="1" applyAlignment="1" applyProtection="1">
      <alignment horizontal="center" vertical="center" shrinkToFit="1"/>
      <protection locked="0"/>
    </xf>
    <xf numFmtId="0" fontId="5" fillId="0" borderId="17" xfId="0" applyFont="1" applyFill="1" applyBorder="1" applyAlignment="1" applyProtection="1">
      <alignment horizontal="center" vertical="center" shrinkToFit="1"/>
      <protection locked="0"/>
    </xf>
    <xf numFmtId="0" fontId="5" fillId="0" borderId="89" xfId="0" applyFont="1" applyFill="1" applyBorder="1" applyAlignment="1" applyProtection="1">
      <alignment horizontal="center" vertical="center" shrinkToFit="1"/>
      <protection locked="0"/>
    </xf>
    <xf numFmtId="1" fontId="32" fillId="9" borderId="26" xfId="17" applyNumberFormat="1" applyFont="1" applyFill="1" applyBorder="1" applyAlignment="1" applyProtection="1">
      <alignment horizontal="center" wrapText="1"/>
    </xf>
    <xf numFmtId="1" fontId="32" fillId="9" borderId="31" xfId="17" applyNumberFormat="1" applyFont="1" applyFill="1" applyBorder="1" applyAlignment="1" applyProtection="1">
      <alignment horizontal="center" wrapText="1"/>
    </xf>
    <xf numFmtId="0" fontId="39" fillId="9" borderId="26" xfId="0" applyFont="1" applyFill="1" applyBorder="1" applyAlignment="1" applyProtection="1">
      <alignment horizontal="center" vertical="center" wrapText="1"/>
    </xf>
    <xf numFmtId="0" fontId="39" fillId="9" borderId="27" xfId="0" applyFont="1" applyFill="1" applyBorder="1" applyAlignment="1" applyProtection="1">
      <alignment horizontal="center" vertical="center" wrapText="1"/>
    </xf>
    <xf numFmtId="0" fontId="5" fillId="6" borderId="90" xfId="0" applyFont="1" applyFill="1" applyBorder="1" applyAlignment="1" applyProtection="1">
      <alignment horizontal="center" vertical="center" shrinkToFit="1"/>
      <protection locked="0"/>
    </xf>
    <xf numFmtId="164" fontId="42" fillId="9" borderId="18" xfId="17" applyNumberFormat="1" applyFont="1" applyFill="1" applyBorder="1" applyAlignment="1" applyProtection="1">
      <alignment horizontal="center"/>
    </xf>
    <xf numFmtId="164" fontId="42" fillId="9" borderId="19" xfId="17" applyNumberFormat="1" applyFont="1" applyFill="1" applyBorder="1" applyAlignment="1" applyProtection="1">
      <alignment horizontal="center"/>
    </xf>
    <xf numFmtId="0" fontId="39" fillId="9" borderId="26" xfId="0" applyFont="1" applyFill="1" applyBorder="1" applyAlignment="1" applyProtection="1">
      <alignment horizontal="center" vertical="center"/>
    </xf>
    <xf numFmtId="49" fontId="5" fillId="6" borderId="48" xfId="17" applyNumberFormat="1" applyFont="1" applyFill="1" applyBorder="1" applyAlignment="1" applyProtection="1">
      <alignment horizontal="left" vertical="center" shrinkToFit="1"/>
      <protection locked="0"/>
    </xf>
    <xf numFmtId="49" fontId="5" fillId="6" borderId="53" xfId="17" applyNumberFormat="1" applyFont="1" applyFill="1" applyBorder="1" applyAlignment="1" applyProtection="1">
      <alignment horizontal="left" vertical="center" shrinkToFit="1"/>
      <protection locked="0"/>
    </xf>
    <xf numFmtId="49" fontId="5" fillId="0" borderId="17" xfId="17" applyNumberFormat="1" applyFont="1" applyFill="1" applyBorder="1" applyAlignment="1" applyProtection="1">
      <alignment horizontal="left" vertical="center" shrinkToFit="1"/>
      <protection locked="0"/>
    </xf>
    <xf numFmtId="49" fontId="5" fillId="0" borderId="54" xfId="17" applyNumberFormat="1" applyFont="1" applyFill="1" applyBorder="1" applyAlignment="1" applyProtection="1">
      <alignment horizontal="left" vertical="center" shrinkToFit="1"/>
      <protection locked="0"/>
    </xf>
    <xf numFmtId="0" fontId="45" fillId="14" borderId="61" xfId="17" applyNumberFormat="1" applyFont="1" applyFill="1" applyBorder="1" applyAlignment="1" applyProtection="1">
      <alignment horizontal="center" vertical="center" textRotation="90" wrapText="1"/>
      <protection hidden="1"/>
    </xf>
    <xf numFmtId="0" fontId="45" fillId="14" borderId="94" xfId="17" applyNumberFormat="1" applyFont="1" applyFill="1" applyBorder="1" applyAlignment="1" applyProtection="1">
      <alignment horizontal="center" vertical="center" textRotation="90" wrapText="1"/>
      <protection hidden="1"/>
    </xf>
    <xf numFmtId="0" fontId="45" fillId="14" borderId="14" xfId="17" applyNumberFormat="1" applyFont="1" applyFill="1" applyBorder="1" applyAlignment="1" applyProtection="1">
      <alignment horizontal="center" vertical="center" textRotation="90" wrapText="1"/>
      <protection hidden="1"/>
    </xf>
    <xf numFmtId="0" fontId="1" fillId="3" borderId="32" xfId="17" applyNumberFormat="1" applyFont="1" applyFill="1" applyBorder="1" applyAlignment="1" applyProtection="1">
      <alignment horizontal="center" vertical="top" wrapText="1"/>
      <protection hidden="1"/>
    </xf>
    <xf numFmtId="0" fontId="1" fillId="3" borderId="18" xfId="17" applyNumberFormat="1" applyFont="1" applyFill="1" applyBorder="1" applyAlignment="1" applyProtection="1">
      <alignment horizontal="center" vertical="top" wrapText="1"/>
      <protection hidden="1"/>
    </xf>
    <xf numFmtId="0" fontId="1" fillId="3" borderId="20" xfId="17" applyNumberFormat="1" applyFont="1" applyFill="1" applyBorder="1" applyAlignment="1" applyProtection="1">
      <alignment horizontal="center" vertical="top" wrapText="1"/>
      <protection hidden="1"/>
    </xf>
    <xf numFmtId="0" fontId="1" fillId="3" borderId="0" xfId="17" applyNumberFormat="1" applyFont="1" applyFill="1" applyBorder="1" applyAlignment="1" applyProtection="1">
      <alignment horizontal="center" vertical="top" wrapText="1"/>
      <protection hidden="1"/>
    </xf>
    <xf numFmtId="0" fontId="1" fillId="3" borderId="23" xfId="17" applyNumberFormat="1" applyFont="1" applyFill="1" applyBorder="1" applyAlignment="1" applyProtection="1">
      <alignment horizontal="center" vertical="top" wrapText="1"/>
      <protection hidden="1"/>
    </xf>
    <xf numFmtId="0" fontId="1" fillId="3" borderId="24" xfId="17" applyNumberFormat="1" applyFont="1" applyFill="1" applyBorder="1" applyAlignment="1" applyProtection="1">
      <alignment horizontal="center" vertical="top" wrapText="1"/>
      <protection hidden="1"/>
    </xf>
    <xf numFmtId="0" fontId="1" fillId="3" borderId="97" xfId="17" applyNumberFormat="1" applyFont="1" applyFill="1" applyBorder="1" applyAlignment="1" applyProtection="1">
      <alignment vertical="top" wrapText="1"/>
      <protection hidden="1"/>
    </xf>
    <xf numFmtId="0" fontId="1" fillId="3" borderId="18" xfId="17" applyNumberFormat="1" applyFont="1" applyFill="1" applyBorder="1" applyAlignment="1" applyProtection="1">
      <alignment vertical="top" wrapText="1"/>
      <protection hidden="1"/>
    </xf>
    <xf numFmtId="0" fontId="1" fillId="3" borderId="98" xfId="17" applyNumberFormat="1" applyFont="1" applyFill="1" applyBorder="1" applyAlignment="1" applyProtection="1">
      <alignment vertical="top" wrapText="1"/>
      <protection hidden="1"/>
    </xf>
    <xf numFmtId="0" fontId="44" fillId="14" borderId="26" xfId="19" applyNumberFormat="1" applyFont="1" applyFill="1" applyBorder="1" applyAlignment="1" applyProtection="1">
      <alignment horizontal="left" vertical="center"/>
      <protection hidden="1"/>
    </xf>
    <xf numFmtId="0" fontId="44" fillId="14" borderId="31" xfId="19" applyNumberFormat="1" applyFont="1" applyFill="1" applyBorder="1" applyAlignment="1" applyProtection="1">
      <alignment horizontal="left" vertical="center"/>
      <protection hidden="1"/>
    </xf>
    <xf numFmtId="0" fontId="44" fillId="14" borderId="27" xfId="19" applyNumberFormat="1" applyFont="1" applyFill="1" applyBorder="1" applyAlignment="1" applyProtection="1">
      <alignment horizontal="left" vertical="center"/>
      <protection hidden="1"/>
    </xf>
    <xf numFmtId="0" fontId="5" fillId="4" borderId="16" xfId="17" applyNumberFormat="1" applyFont="1" applyFill="1" applyBorder="1" applyAlignment="1" applyProtection="1">
      <alignment horizontal="left" vertical="center" shrinkToFit="1"/>
      <protection hidden="1"/>
    </xf>
    <xf numFmtId="0" fontId="5" fillId="4" borderId="49" xfId="17" applyNumberFormat="1" applyFont="1" applyFill="1" applyBorder="1" applyAlignment="1" applyProtection="1">
      <alignment horizontal="left" vertical="center" shrinkToFit="1"/>
      <protection hidden="1"/>
    </xf>
    <xf numFmtId="0" fontId="0" fillId="3" borderId="97" xfId="17" applyNumberFormat="1" applyFont="1" applyFill="1" applyBorder="1" applyAlignment="1" applyProtection="1">
      <alignment horizontal="left" vertical="top" wrapText="1"/>
      <protection hidden="1"/>
    </xf>
    <xf numFmtId="0" fontId="0" fillId="3" borderId="18" xfId="17" applyNumberFormat="1" applyFont="1" applyFill="1" applyBorder="1" applyAlignment="1" applyProtection="1">
      <alignment horizontal="left" vertical="top" wrapText="1"/>
      <protection hidden="1"/>
    </xf>
    <xf numFmtId="0" fontId="0" fillId="3" borderId="19" xfId="17" applyNumberFormat="1" applyFont="1" applyFill="1" applyBorder="1" applyAlignment="1" applyProtection="1">
      <alignment horizontal="left" vertical="top" wrapText="1"/>
      <protection hidden="1"/>
    </xf>
    <xf numFmtId="0" fontId="0" fillId="3" borderId="66" xfId="17" applyNumberFormat="1" applyFont="1" applyFill="1" applyBorder="1" applyAlignment="1" applyProtection="1">
      <alignment vertical="top" wrapText="1"/>
      <protection hidden="1"/>
    </xf>
    <xf numFmtId="0" fontId="0" fillId="3" borderId="0" xfId="17" applyNumberFormat="1" applyFont="1" applyFill="1" applyBorder="1" applyAlignment="1" applyProtection="1">
      <alignment vertical="top" wrapText="1"/>
      <protection hidden="1"/>
    </xf>
    <xf numFmtId="0" fontId="0" fillId="3" borderId="78" xfId="17" applyNumberFormat="1" applyFont="1" applyFill="1" applyBorder="1" applyAlignment="1" applyProtection="1">
      <alignment vertical="top" wrapText="1"/>
      <protection hidden="1"/>
    </xf>
    <xf numFmtId="0" fontId="1" fillId="3" borderId="66" xfId="17" applyNumberFormat="1" applyFont="1" applyFill="1" applyBorder="1" applyAlignment="1" applyProtection="1">
      <alignment horizontal="left" vertical="top" wrapText="1"/>
      <protection hidden="1"/>
    </xf>
    <xf numFmtId="0" fontId="1" fillId="3" borderId="0" xfId="17" applyNumberFormat="1" applyFont="1" applyFill="1" applyBorder="1" applyAlignment="1" applyProtection="1">
      <alignment horizontal="left" vertical="top" wrapText="1"/>
      <protection hidden="1"/>
    </xf>
    <xf numFmtId="0" fontId="1" fillId="3" borderId="21" xfId="17" applyNumberFormat="1" applyFont="1" applyFill="1" applyBorder="1" applyAlignment="1" applyProtection="1">
      <alignment horizontal="left" vertical="top" wrapText="1"/>
      <protection hidden="1"/>
    </xf>
    <xf numFmtId="0" fontId="1" fillId="3" borderId="95" xfId="17" applyNumberFormat="1" applyFont="1" applyFill="1" applyBorder="1" applyAlignment="1" applyProtection="1">
      <alignment horizontal="left" vertical="top" wrapText="1"/>
      <protection hidden="1"/>
    </xf>
    <xf numFmtId="0" fontId="1" fillId="3" borderId="24" xfId="17" applyNumberFormat="1" applyFont="1" applyFill="1" applyBorder="1" applyAlignment="1" applyProtection="1">
      <alignment horizontal="left" vertical="top" wrapText="1"/>
      <protection hidden="1"/>
    </xf>
    <xf numFmtId="0" fontId="1" fillId="3" borderId="41" xfId="17" applyNumberFormat="1" applyFont="1" applyFill="1" applyBorder="1" applyAlignment="1" applyProtection="1">
      <alignment horizontal="left" vertical="top" wrapText="1"/>
      <protection hidden="1"/>
    </xf>
    <xf numFmtId="0" fontId="5" fillId="6" borderId="16" xfId="17" applyNumberFormat="1" applyFont="1" applyFill="1" applyBorder="1" applyAlignment="1" applyProtection="1">
      <alignment horizontal="left" vertical="center" shrinkToFit="1"/>
      <protection hidden="1"/>
    </xf>
    <xf numFmtId="0" fontId="5" fillId="6" borderId="49" xfId="17" applyNumberFormat="1" applyFont="1" applyFill="1" applyBorder="1" applyAlignment="1" applyProtection="1">
      <alignment horizontal="left" vertical="center" shrinkToFit="1"/>
      <protection hidden="1"/>
    </xf>
    <xf numFmtId="0" fontId="5" fillId="3" borderId="16" xfId="17" applyNumberFormat="1" applyFont="1" applyFill="1" applyBorder="1" applyAlignment="1" applyProtection="1">
      <alignment horizontal="left" vertical="center" shrinkToFit="1"/>
      <protection hidden="1"/>
    </xf>
    <xf numFmtId="0" fontId="5" fillId="3" borderId="49" xfId="17" applyNumberFormat="1" applyFont="1" applyFill="1" applyBorder="1" applyAlignment="1" applyProtection="1">
      <alignment horizontal="left" vertical="center" shrinkToFit="1"/>
      <protection hidden="1"/>
    </xf>
    <xf numFmtId="0" fontId="5" fillId="0" borderId="17" xfId="17" applyNumberFormat="1" applyFont="1" applyFill="1" applyBorder="1" applyAlignment="1" applyProtection="1">
      <alignment horizontal="left" vertical="center" shrinkToFit="1"/>
      <protection hidden="1"/>
    </xf>
    <xf numFmtId="0" fontId="5" fillId="0" borderId="54" xfId="17" applyNumberFormat="1" applyFont="1" applyFill="1" applyBorder="1" applyAlignment="1" applyProtection="1">
      <alignment horizontal="left" vertical="center" shrinkToFit="1"/>
      <protection hidden="1"/>
    </xf>
    <xf numFmtId="0" fontId="52" fillId="14" borderId="32" xfId="17" applyNumberFormat="1" applyFont="1" applyFill="1" applyBorder="1" applyAlignment="1" applyProtection="1">
      <alignment horizontal="right"/>
      <protection hidden="1"/>
    </xf>
    <xf numFmtId="0" fontId="52" fillId="14" borderId="18" xfId="17" applyNumberFormat="1" applyFont="1" applyFill="1" applyBorder="1" applyAlignment="1" applyProtection="1">
      <alignment horizontal="right"/>
      <protection hidden="1"/>
    </xf>
    <xf numFmtId="0" fontId="52" fillId="14" borderId="19" xfId="17" applyNumberFormat="1" applyFont="1" applyFill="1" applyBorder="1" applyAlignment="1" applyProtection="1">
      <alignment horizontal="right"/>
      <protection hidden="1"/>
    </xf>
    <xf numFmtId="0" fontId="52" fillId="14" borderId="23" xfId="17" applyNumberFormat="1" applyFont="1" applyFill="1" applyBorder="1" applyAlignment="1" applyProtection="1">
      <alignment horizontal="right"/>
      <protection hidden="1"/>
    </xf>
    <xf numFmtId="0" fontId="52" fillId="14" borderId="24" xfId="17" applyNumberFormat="1" applyFont="1" applyFill="1" applyBorder="1" applyAlignment="1" applyProtection="1">
      <alignment horizontal="right"/>
      <protection hidden="1"/>
    </xf>
    <xf numFmtId="0" fontId="52" fillId="14" borderId="41" xfId="17" applyNumberFormat="1" applyFont="1" applyFill="1" applyBorder="1" applyAlignment="1" applyProtection="1">
      <alignment horizontal="right"/>
      <protection hidden="1"/>
    </xf>
    <xf numFmtId="0" fontId="23" fillId="3" borderId="94" xfId="0" applyNumberFormat="1" applyFont="1" applyFill="1" applyBorder="1" applyAlignment="1" applyProtection="1">
      <alignment horizontal="center"/>
      <protection hidden="1"/>
    </xf>
    <xf numFmtId="0" fontId="23" fillId="3" borderId="14" xfId="0" applyNumberFormat="1" applyFont="1" applyFill="1" applyBorder="1" applyAlignment="1" applyProtection="1">
      <alignment horizontal="center"/>
      <protection hidden="1"/>
    </xf>
    <xf numFmtId="0" fontId="1" fillId="3" borderId="95" xfId="17" applyNumberFormat="1" applyFont="1" applyFill="1" applyBorder="1" applyAlignment="1" applyProtection="1">
      <alignment vertical="top" wrapText="1"/>
      <protection hidden="1"/>
    </xf>
    <xf numFmtId="0" fontId="1" fillId="3" borderId="24" xfId="17" applyNumberFormat="1" applyFont="1" applyFill="1" applyBorder="1" applyAlignment="1" applyProtection="1">
      <alignment vertical="top" wrapText="1"/>
      <protection hidden="1"/>
    </xf>
    <xf numFmtId="0" fontId="1" fillId="3" borderId="96" xfId="17" applyNumberFormat="1" applyFont="1" applyFill="1" applyBorder="1" applyAlignment="1" applyProtection="1">
      <alignment vertical="top" wrapText="1"/>
      <protection hidden="1"/>
    </xf>
    <xf numFmtId="0" fontId="1" fillId="3" borderId="66" xfId="17" applyNumberFormat="1" applyFont="1" applyFill="1" applyBorder="1" applyAlignment="1" applyProtection="1">
      <alignment vertical="top" wrapText="1"/>
      <protection hidden="1"/>
    </xf>
    <xf numFmtId="0" fontId="1" fillId="3" borderId="0" xfId="17" applyNumberFormat="1" applyFont="1" applyFill="1" applyBorder="1" applyAlignment="1" applyProtection="1">
      <alignment vertical="top" wrapText="1"/>
      <protection hidden="1"/>
    </xf>
    <xf numFmtId="0" fontId="1" fillId="3" borderId="78" xfId="17" applyNumberFormat="1" applyFont="1" applyFill="1" applyBorder="1" applyAlignment="1" applyProtection="1">
      <alignment vertical="top" wrapText="1"/>
      <protection hidden="1"/>
    </xf>
    <xf numFmtId="0" fontId="39" fillId="14" borderId="26" xfId="0" applyNumberFormat="1" applyFont="1" applyFill="1" applyBorder="1" applyAlignment="1" applyProtection="1">
      <alignment horizontal="center" vertical="center"/>
      <protection hidden="1"/>
    </xf>
    <xf numFmtId="0" fontId="39" fillId="14" borderId="76" xfId="0" applyNumberFormat="1" applyFont="1" applyFill="1" applyBorder="1" applyAlignment="1" applyProtection="1">
      <alignment horizontal="center" vertical="center"/>
      <protection hidden="1"/>
    </xf>
    <xf numFmtId="0" fontId="5" fillId="6" borderId="48" xfId="17" applyNumberFormat="1" applyFont="1" applyFill="1" applyBorder="1" applyAlignment="1" applyProtection="1">
      <alignment horizontal="left" vertical="center" shrinkToFit="1"/>
      <protection hidden="1"/>
    </xf>
    <xf numFmtId="0" fontId="5" fillId="6" borderId="53" xfId="17" applyNumberFormat="1" applyFont="1" applyFill="1" applyBorder="1" applyAlignment="1" applyProtection="1">
      <alignment horizontal="left" vertical="center" shrinkToFit="1"/>
      <protection hidden="1"/>
    </xf>
    <xf numFmtId="0" fontId="5" fillId="3" borderId="58" xfId="17" applyNumberFormat="1" applyFont="1" applyFill="1" applyBorder="1" applyAlignment="1" applyProtection="1">
      <alignment horizontal="left" vertical="center" shrinkToFit="1"/>
      <protection hidden="1"/>
    </xf>
    <xf numFmtId="0" fontId="5" fillId="3" borderId="58" xfId="17" applyNumberFormat="1" applyFont="1" applyFill="1" applyBorder="1" applyAlignment="1" applyProtection="1">
      <alignment horizontal="center" vertical="center" shrinkToFit="1"/>
      <protection hidden="1"/>
    </xf>
    <xf numFmtId="0" fontId="5" fillId="3" borderId="49" xfId="17" applyNumberFormat="1" applyFont="1" applyFill="1" applyBorder="1" applyAlignment="1" applyProtection="1">
      <alignment horizontal="center" vertical="center" shrinkToFit="1"/>
      <protection hidden="1"/>
    </xf>
    <xf numFmtId="0" fontId="5" fillId="3" borderId="16" xfId="0" applyNumberFormat="1" applyFont="1" applyFill="1" applyBorder="1" applyAlignment="1" applyProtection="1">
      <alignment horizontal="center" vertical="center" shrinkToFit="1"/>
      <protection hidden="1"/>
    </xf>
    <xf numFmtId="0" fontId="5" fillId="3" borderId="88" xfId="0" applyNumberFormat="1" applyFont="1" applyFill="1" applyBorder="1" applyAlignment="1" applyProtection="1">
      <alignment horizontal="center" vertical="center" shrinkToFit="1"/>
      <protection hidden="1"/>
    </xf>
    <xf numFmtId="0" fontId="5" fillId="4" borderId="58" xfId="17" applyNumberFormat="1" applyFont="1" applyFill="1" applyBorder="1" applyAlignment="1" applyProtection="1">
      <alignment horizontal="left" vertical="center" shrinkToFit="1"/>
      <protection hidden="1"/>
    </xf>
    <xf numFmtId="0" fontId="5" fillId="4" borderId="58" xfId="17" applyNumberFormat="1" applyFont="1" applyFill="1" applyBorder="1" applyAlignment="1" applyProtection="1">
      <alignment horizontal="center" vertical="center" shrinkToFit="1"/>
      <protection hidden="1"/>
    </xf>
    <xf numFmtId="0" fontId="5" fillId="4" borderId="49" xfId="17" applyNumberFormat="1" applyFont="1" applyFill="1" applyBorder="1" applyAlignment="1" applyProtection="1">
      <alignment horizontal="center" vertical="center" shrinkToFit="1"/>
      <protection hidden="1"/>
    </xf>
    <xf numFmtId="0" fontId="5" fillId="4" borderId="16" xfId="0" applyNumberFormat="1" applyFont="1" applyFill="1" applyBorder="1" applyAlignment="1" applyProtection="1">
      <alignment horizontal="center" vertical="center" shrinkToFit="1"/>
      <protection hidden="1"/>
    </xf>
    <xf numFmtId="0" fontId="5" fillId="4" borderId="88" xfId="0" applyNumberFormat="1" applyFont="1" applyFill="1" applyBorder="1" applyAlignment="1" applyProtection="1">
      <alignment horizontal="center" vertical="center" shrinkToFit="1"/>
      <protection hidden="1"/>
    </xf>
    <xf numFmtId="0" fontId="5" fillId="0" borderId="60" xfId="17" applyNumberFormat="1" applyFont="1" applyFill="1" applyBorder="1" applyAlignment="1" applyProtection="1">
      <alignment horizontal="left" vertical="center" shrinkToFit="1"/>
      <protection hidden="1"/>
    </xf>
    <xf numFmtId="0" fontId="5" fillId="0" borderId="17" xfId="0" applyNumberFormat="1" applyFont="1" applyFill="1" applyBorder="1" applyAlignment="1" applyProtection="1">
      <alignment horizontal="center" vertical="center" shrinkToFit="1"/>
      <protection hidden="1"/>
    </xf>
    <xf numFmtId="0" fontId="5" fillId="0" borderId="89" xfId="0" applyNumberFormat="1" applyFont="1" applyFill="1" applyBorder="1" applyAlignment="1" applyProtection="1">
      <alignment horizontal="center" vertical="center" shrinkToFit="1"/>
      <protection hidden="1"/>
    </xf>
    <xf numFmtId="0" fontId="5" fillId="6" borderId="58" xfId="17" applyNumberFormat="1" applyFont="1" applyFill="1" applyBorder="1" applyAlignment="1" applyProtection="1">
      <alignment horizontal="left" vertical="center" shrinkToFit="1"/>
      <protection hidden="1"/>
    </xf>
    <xf numFmtId="0" fontId="5" fillId="6" borderId="58" xfId="17" applyNumberFormat="1" applyFont="1" applyFill="1" applyBorder="1" applyAlignment="1" applyProtection="1">
      <alignment horizontal="center" vertical="center" shrinkToFit="1"/>
      <protection hidden="1"/>
    </xf>
    <xf numFmtId="0" fontId="5" fillId="6" borderId="49" xfId="17" applyNumberFormat="1" applyFont="1" applyFill="1" applyBorder="1" applyAlignment="1" applyProtection="1">
      <alignment horizontal="center" vertical="center" shrinkToFit="1"/>
      <protection hidden="1"/>
    </xf>
    <xf numFmtId="0" fontId="5" fillId="6" borderId="16" xfId="0" applyNumberFormat="1" applyFont="1" applyFill="1" applyBorder="1" applyAlignment="1" applyProtection="1">
      <alignment horizontal="center" vertical="center" shrinkToFit="1"/>
      <protection hidden="1"/>
    </xf>
    <xf numFmtId="0" fontId="5" fillId="6" borderId="88" xfId="0" applyNumberFormat="1" applyFont="1" applyFill="1" applyBorder="1" applyAlignment="1" applyProtection="1">
      <alignment horizontal="center" vertical="center" shrinkToFit="1"/>
      <protection hidden="1"/>
    </xf>
    <xf numFmtId="0" fontId="39" fillId="14" borderId="8" xfId="0" applyNumberFormat="1" applyFont="1" applyFill="1" applyBorder="1" applyAlignment="1" applyProtection="1">
      <alignment horizontal="center" vertical="center"/>
      <protection hidden="1"/>
    </xf>
    <xf numFmtId="0" fontId="39" fillId="14" borderId="8" xfId="0" applyNumberFormat="1" applyFont="1" applyFill="1" applyBorder="1" applyAlignment="1" applyProtection="1">
      <alignment horizontal="center" vertical="center" wrapText="1"/>
      <protection hidden="1"/>
    </xf>
    <xf numFmtId="0" fontId="39" fillId="14" borderId="76" xfId="0" applyNumberFormat="1" applyFont="1" applyFill="1" applyBorder="1" applyAlignment="1" applyProtection="1">
      <alignment horizontal="center" vertical="center" wrapText="1"/>
      <protection hidden="1"/>
    </xf>
    <xf numFmtId="0" fontId="39" fillId="14" borderId="26" xfId="0" applyNumberFormat="1" applyFont="1" applyFill="1" applyBorder="1" applyAlignment="1" applyProtection="1">
      <alignment horizontal="center" vertical="center" wrapText="1"/>
      <protection hidden="1"/>
    </xf>
    <xf numFmtId="0" fontId="39" fillId="14" borderId="27" xfId="0" applyNumberFormat="1" applyFont="1" applyFill="1" applyBorder="1" applyAlignment="1" applyProtection="1">
      <alignment horizontal="center" vertical="center" wrapText="1"/>
      <protection hidden="1"/>
    </xf>
    <xf numFmtId="0" fontId="5" fillId="6" borderId="57" xfId="17" applyNumberFormat="1" applyFont="1" applyFill="1" applyBorder="1" applyAlignment="1" applyProtection="1">
      <alignment horizontal="left" vertical="center" shrinkToFit="1"/>
      <protection hidden="1"/>
    </xf>
    <xf numFmtId="0" fontId="5" fillId="6" borderId="57" xfId="17" applyNumberFormat="1" applyFont="1" applyFill="1" applyBorder="1" applyAlignment="1" applyProtection="1">
      <alignment horizontal="center" vertical="center" shrinkToFit="1"/>
      <protection hidden="1"/>
    </xf>
    <xf numFmtId="0" fontId="5" fillId="6" borderId="53" xfId="17" applyNumberFormat="1" applyFont="1" applyFill="1" applyBorder="1" applyAlignment="1" applyProtection="1">
      <alignment horizontal="center" vertical="center" shrinkToFit="1"/>
      <protection hidden="1"/>
    </xf>
    <xf numFmtId="0" fontId="5" fillId="6" borderId="48" xfId="0" applyNumberFormat="1" applyFont="1" applyFill="1" applyBorder="1" applyAlignment="1" applyProtection="1">
      <alignment horizontal="center" vertical="center" shrinkToFit="1"/>
      <protection hidden="1"/>
    </xf>
    <xf numFmtId="0" fontId="5" fillId="6" borderId="90" xfId="0" applyNumberFormat="1" applyFont="1" applyFill="1" applyBorder="1" applyAlignment="1" applyProtection="1">
      <alignment horizontal="center" vertical="center" shrinkToFit="1"/>
      <protection hidden="1"/>
    </xf>
    <xf numFmtId="0" fontId="5" fillId="8" borderId="60" xfId="0" applyNumberFormat="1" applyFont="1" applyFill="1" applyBorder="1" applyAlignment="1" applyProtection="1">
      <alignment horizontal="center" vertical="center" shrinkToFit="1"/>
      <protection hidden="1"/>
    </xf>
    <xf numFmtId="0" fontId="5" fillId="8" borderId="54" xfId="0" applyNumberFormat="1" applyFont="1" applyFill="1" applyBorder="1" applyAlignment="1" applyProtection="1">
      <alignment horizontal="center" vertical="center" shrinkToFit="1"/>
      <protection hidden="1"/>
    </xf>
    <xf numFmtId="0" fontId="5" fillId="8" borderId="92" xfId="0" applyNumberFormat="1" applyFont="1" applyFill="1" applyBorder="1" applyAlignment="1" applyProtection="1">
      <alignment horizontal="center" vertical="center" shrinkToFit="1"/>
      <protection hidden="1"/>
    </xf>
    <xf numFmtId="0" fontId="27" fillId="4" borderId="17" xfId="17" applyNumberFormat="1" applyFont="1" applyFill="1" applyBorder="1" applyAlignment="1" applyProtection="1">
      <alignment horizontal="center" vertical="center" shrinkToFit="1"/>
      <protection hidden="1"/>
    </xf>
    <xf numFmtId="0" fontId="27" fillId="4" borderId="92" xfId="17" applyNumberFormat="1" applyFont="1" applyFill="1" applyBorder="1" applyAlignment="1" applyProtection="1">
      <alignment horizontal="center" vertical="center" shrinkToFit="1"/>
      <protection hidden="1"/>
    </xf>
    <xf numFmtId="0" fontId="27" fillId="4" borderId="54" xfId="17" applyNumberFormat="1" applyFont="1" applyFill="1" applyBorder="1" applyAlignment="1" applyProtection="1">
      <alignment horizontal="center" vertical="center" shrinkToFit="1"/>
      <protection hidden="1"/>
    </xf>
    <xf numFmtId="0" fontId="5" fillId="4" borderId="17" xfId="0" applyNumberFormat="1" applyFont="1" applyFill="1" applyBorder="1" applyAlignment="1" applyProtection="1">
      <alignment horizontal="center" vertical="center" shrinkToFit="1"/>
      <protection hidden="1"/>
    </xf>
    <xf numFmtId="0" fontId="5" fillId="4" borderId="92" xfId="0" applyNumberFormat="1" applyFont="1" applyFill="1" applyBorder="1" applyAlignment="1" applyProtection="1">
      <alignment horizontal="center" vertical="center" shrinkToFit="1"/>
      <protection hidden="1"/>
    </xf>
    <xf numFmtId="0" fontId="5" fillId="4" borderId="89" xfId="0" applyNumberFormat="1" applyFont="1" applyFill="1" applyBorder="1" applyAlignment="1" applyProtection="1">
      <alignment horizontal="center" vertical="center" shrinkToFit="1"/>
      <protection hidden="1"/>
    </xf>
    <xf numFmtId="0" fontId="41" fillId="14" borderId="32" xfId="17" applyNumberFormat="1" applyFont="1" applyFill="1" applyBorder="1" applyAlignment="1" applyProtection="1">
      <alignment horizontal="left" wrapText="1"/>
      <protection hidden="1"/>
    </xf>
    <xf numFmtId="0" fontId="41" fillId="14" borderId="19" xfId="17" applyNumberFormat="1" applyFont="1" applyFill="1" applyBorder="1" applyAlignment="1" applyProtection="1">
      <alignment horizontal="left" wrapText="1"/>
      <protection hidden="1"/>
    </xf>
    <xf numFmtId="0" fontId="32" fillId="14" borderId="26" xfId="17" applyNumberFormat="1" applyFont="1" applyFill="1" applyBorder="1" applyAlignment="1" applyProtection="1">
      <alignment horizontal="center" wrapText="1"/>
      <protection hidden="1"/>
    </xf>
    <xf numFmtId="0" fontId="32" fillId="14" borderId="31" xfId="17" applyNumberFormat="1" applyFont="1" applyFill="1" applyBorder="1" applyAlignment="1" applyProtection="1">
      <alignment horizontal="center" wrapText="1"/>
      <protection hidden="1"/>
    </xf>
    <xf numFmtId="0" fontId="5" fillId="8" borderId="58" xfId="0" applyNumberFormat="1" applyFont="1" applyFill="1" applyBorder="1" applyAlignment="1" applyProtection="1">
      <alignment horizontal="center" vertical="center" shrinkToFit="1"/>
      <protection hidden="1"/>
    </xf>
    <xf numFmtId="0" fontId="5" fillId="8" borderId="49" xfId="0" applyNumberFormat="1" applyFont="1" applyFill="1" applyBorder="1" applyAlignment="1" applyProtection="1">
      <alignment horizontal="center" vertical="center" shrinkToFit="1"/>
      <protection hidden="1"/>
    </xf>
    <xf numFmtId="0" fontId="5" fillId="8" borderId="85" xfId="0" applyNumberFormat="1" applyFont="1" applyFill="1" applyBorder="1" applyAlignment="1" applyProtection="1">
      <alignment horizontal="center" vertical="center" shrinkToFit="1"/>
      <protection hidden="1"/>
    </xf>
    <xf numFmtId="0" fontId="27" fillId="4" borderId="16" xfId="17" applyNumberFormat="1" applyFont="1" applyFill="1" applyBorder="1" applyAlignment="1" applyProtection="1">
      <alignment horizontal="center" vertical="center" shrinkToFit="1"/>
      <protection hidden="1"/>
    </xf>
    <xf numFmtId="0" fontId="27" fillId="4" borderId="85" xfId="17" applyNumberFormat="1" applyFont="1" applyFill="1" applyBorder="1" applyAlignment="1" applyProtection="1">
      <alignment horizontal="center" vertical="center" shrinkToFit="1"/>
      <protection hidden="1"/>
    </xf>
    <xf numFmtId="0" fontId="27" fillId="4" borderId="49" xfId="17" applyNumberFormat="1" applyFont="1" applyFill="1" applyBorder="1" applyAlignment="1" applyProtection="1">
      <alignment horizontal="center" vertical="center" shrinkToFit="1"/>
      <protection hidden="1"/>
    </xf>
    <xf numFmtId="0" fontId="5" fillId="4" borderId="85" xfId="0" applyNumberFormat="1" applyFont="1" applyFill="1" applyBorder="1" applyAlignment="1" applyProtection="1">
      <alignment horizontal="center" vertical="center" shrinkToFit="1"/>
      <protection hidden="1"/>
    </xf>
    <xf numFmtId="0" fontId="5" fillId="3" borderId="58" xfId="0" applyNumberFormat="1" applyFont="1" applyFill="1" applyBorder="1" applyAlignment="1" applyProtection="1">
      <alignment horizontal="center" vertical="center" shrinkToFit="1"/>
      <protection hidden="1"/>
    </xf>
    <xf numFmtId="0" fontId="5" fillId="3" borderId="49" xfId="0" applyNumberFormat="1" applyFont="1" applyFill="1" applyBorder="1" applyAlignment="1" applyProtection="1">
      <alignment horizontal="center" vertical="center" shrinkToFit="1"/>
      <protection hidden="1"/>
    </xf>
    <xf numFmtId="0" fontId="5" fillId="3" borderId="85" xfId="0" applyNumberFormat="1" applyFont="1" applyFill="1" applyBorder="1" applyAlignment="1" applyProtection="1">
      <alignment horizontal="center" vertical="center" shrinkToFit="1"/>
      <protection hidden="1"/>
    </xf>
    <xf numFmtId="0" fontId="27" fillId="3" borderId="16" xfId="17" applyNumberFormat="1" applyFont="1" applyFill="1" applyBorder="1" applyAlignment="1" applyProtection="1">
      <alignment horizontal="center" vertical="center" shrinkToFit="1"/>
      <protection hidden="1"/>
    </xf>
    <xf numFmtId="0" fontId="27" fillId="3" borderId="85" xfId="17" applyNumberFormat="1" applyFont="1" applyFill="1" applyBorder="1" applyAlignment="1" applyProtection="1">
      <alignment horizontal="center" vertical="center" shrinkToFit="1"/>
      <protection hidden="1"/>
    </xf>
    <xf numFmtId="0" fontId="27" fillId="3" borderId="49" xfId="17" applyNumberFormat="1" applyFont="1" applyFill="1" applyBorder="1" applyAlignment="1" applyProtection="1">
      <alignment horizontal="center" vertical="center" shrinkToFit="1"/>
      <protection hidden="1"/>
    </xf>
    <xf numFmtId="0" fontId="5" fillId="5" borderId="16" xfId="0" applyNumberFormat="1" applyFont="1" applyFill="1" applyBorder="1" applyAlignment="1" applyProtection="1">
      <alignment horizontal="center" vertical="center" shrinkToFit="1"/>
      <protection hidden="1"/>
    </xf>
    <xf numFmtId="0" fontId="5" fillId="5" borderId="88" xfId="0" applyNumberFormat="1" applyFont="1" applyFill="1" applyBorder="1" applyAlignment="1" applyProtection="1">
      <alignment horizontal="center" vertical="center" shrinkToFit="1"/>
      <protection hidden="1"/>
    </xf>
    <xf numFmtId="0" fontId="5" fillId="6" borderId="58" xfId="0" applyNumberFormat="1" applyFont="1" applyFill="1" applyBorder="1" applyAlignment="1" applyProtection="1">
      <alignment horizontal="center" vertical="center" shrinkToFit="1"/>
      <protection hidden="1"/>
    </xf>
    <xf numFmtId="0" fontId="5" fillId="6" borderId="49" xfId="0" applyNumberFormat="1" applyFont="1" applyFill="1" applyBorder="1" applyAlignment="1" applyProtection="1">
      <alignment horizontal="center" vertical="center" shrinkToFit="1"/>
      <protection hidden="1"/>
    </xf>
    <xf numFmtId="0" fontId="5" fillId="6" borderId="85" xfId="0" applyNumberFormat="1" applyFont="1" applyFill="1" applyBorder="1" applyAlignment="1" applyProtection="1">
      <alignment horizontal="center" vertical="center" shrinkToFit="1"/>
      <protection hidden="1"/>
    </xf>
    <xf numFmtId="0" fontId="27" fillId="6" borderId="16" xfId="17" applyNumberFormat="1" applyFont="1" applyFill="1" applyBorder="1" applyAlignment="1" applyProtection="1">
      <alignment horizontal="center" vertical="center" shrinkToFit="1"/>
      <protection hidden="1"/>
    </xf>
    <xf numFmtId="0" fontId="27" fillId="6" borderId="85" xfId="17" applyNumberFormat="1" applyFont="1" applyFill="1" applyBorder="1" applyAlignment="1" applyProtection="1">
      <alignment horizontal="center" vertical="center" shrinkToFit="1"/>
      <protection hidden="1"/>
    </xf>
    <xf numFmtId="0" fontId="27" fillId="6" borderId="49" xfId="17" applyNumberFormat="1" applyFont="1" applyFill="1" applyBorder="1" applyAlignment="1" applyProtection="1">
      <alignment horizontal="center" vertical="center" shrinkToFit="1"/>
      <protection hidden="1"/>
    </xf>
    <xf numFmtId="0" fontId="39" fillId="14" borderId="8" xfId="17" applyNumberFormat="1" applyFont="1" applyFill="1" applyBorder="1" applyAlignment="1" applyProtection="1">
      <alignment horizontal="center" vertical="center" wrapText="1"/>
      <protection hidden="1"/>
    </xf>
    <xf numFmtId="0" fontId="39" fillId="14" borderId="76" xfId="17" applyNumberFormat="1" applyFont="1" applyFill="1" applyBorder="1" applyAlignment="1" applyProtection="1">
      <alignment horizontal="center" vertical="center" wrapText="1"/>
      <protection hidden="1"/>
    </xf>
    <xf numFmtId="0" fontId="39" fillId="14" borderId="31" xfId="0" applyNumberFormat="1" applyFont="1" applyFill="1" applyBorder="1" applyAlignment="1" applyProtection="1">
      <alignment horizontal="center" vertical="center"/>
      <protection hidden="1"/>
    </xf>
    <xf numFmtId="0" fontId="39" fillId="14" borderId="26" xfId="17" applyNumberFormat="1" applyFont="1" applyFill="1" applyBorder="1" applyAlignment="1" applyProtection="1">
      <alignment horizontal="center" vertical="center"/>
      <protection hidden="1"/>
    </xf>
    <xf numFmtId="0" fontId="39" fillId="14" borderId="31" xfId="17" applyNumberFormat="1" applyFont="1" applyFill="1" applyBorder="1" applyAlignment="1" applyProtection="1">
      <alignment horizontal="center" vertical="center"/>
      <protection hidden="1"/>
    </xf>
    <xf numFmtId="0" fontId="40" fillId="14" borderId="31" xfId="0" applyNumberFormat="1" applyFont="1" applyFill="1" applyBorder="1" applyProtection="1">
      <protection hidden="1"/>
    </xf>
    <xf numFmtId="0" fontId="40" fillId="14" borderId="27" xfId="0" applyNumberFormat="1" applyFont="1" applyFill="1" applyBorder="1" applyProtection="1">
      <protection hidden="1"/>
    </xf>
    <xf numFmtId="0" fontId="5" fillId="6" borderId="57" xfId="0" applyNumberFormat="1" applyFont="1" applyFill="1" applyBorder="1" applyAlignment="1" applyProtection="1">
      <alignment horizontal="center" vertical="center" shrinkToFit="1"/>
      <protection hidden="1"/>
    </xf>
    <xf numFmtId="0" fontId="5" fillId="6" borderId="53" xfId="0" applyNumberFormat="1" applyFont="1" applyFill="1" applyBorder="1" applyAlignment="1" applyProtection="1">
      <alignment horizontal="center" vertical="center" shrinkToFit="1"/>
      <protection hidden="1"/>
    </xf>
    <xf numFmtId="0" fontId="5" fillId="6" borderId="91" xfId="0" applyNumberFormat="1" applyFont="1" applyFill="1" applyBorder="1" applyAlignment="1" applyProtection="1">
      <alignment horizontal="center" vertical="center" shrinkToFit="1"/>
      <protection hidden="1"/>
    </xf>
    <xf numFmtId="0" fontId="27" fillId="6" borderId="48" xfId="17" applyNumberFormat="1" applyFont="1" applyFill="1" applyBorder="1" applyAlignment="1" applyProtection="1">
      <alignment horizontal="center" vertical="center" shrinkToFit="1"/>
      <protection hidden="1"/>
    </xf>
    <xf numFmtId="0" fontId="27" fillId="6" borderId="91" xfId="17" applyNumberFormat="1" applyFont="1" applyFill="1" applyBorder="1" applyAlignment="1" applyProtection="1">
      <alignment horizontal="center" vertical="center" shrinkToFit="1"/>
      <protection hidden="1"/>
    </xf>
    <xf numFmtId="0" fontId="27" fillId="6" borderId="53" xfId="17" applyNumberFormat="1" applyFont="1" applyFill="1" applyBorder="1" applyAlignment="1" applyProtection="1">
      <alignment horizontal="center" vertical="center" shrinkToFit="1"/>
      <protection hidden="1"/>
    </xf>
    <xf numFmtId="0" fontId="23" fillId="3" borderId="26" xfId="0" applyNumberFormat="1" applyFont="1" applyFill="1" applyBorder="1" applyAlignment="1" applyProtection="1">
      <alignment horizontal="center" vertical="center"/>
      <protection hidden="1"/>
    </xf>
    <xf numFmtId="0" fontId="23" fillId="3" borderId="31" xfId="0" applyNumberFormat="1" applyFont="1" applyFill="1" applyBorder="1" applyAlignment="1" applyProtection="1">
      <alignment horizontal="center" vertical="center"/>
      <protection hidden="1"/>
    </xf>
    <xf numFmtId="0" fontId="23" fillId="3" borderId="27" xfId="0" applyNumberFormat="1" applyFont="1" applyFill="1" applyBorder="1" applyAlignment="1" applyProtection="1">
      <alignment horizontal="center" vertical="center"/>
      <protection hidden="1"/>
    </xf>
    <xf numFmtId="0" fontId="10" fillId="3" borderId="26" xfId="0" applyNumberFormat="1" applyFont="1" applyFill="1" applyBorder="1" applyAlignment="1" applyProtection="1">
      <alignment horizontal="center" vertical="center"/>
      <protection hidden="1"/>
    </xf>
    <xf numFmtId="0" fontId="10" fillId="3" borderId="31" xfId="0" applyNumberFormat="1" applyFont="1" applyFill="1" applyBorder="1" applyAlignment="1" applyProtection="1">
      <alignment horizontal="center" vertical="center"/>
      <protection hidden="1"/>
    </xf>
    <xf numFmtId="0" fontId="10" fillId="3" borderId="27" xfId="0" applyNumberFormat="1" applyFont="1" applyFill="1" applyBorder="1" applyAlignment="1" applyProtection="1">
      <alignment horizontal="center" vertical="center"/>
      <protection hidden="1"/>
    </xf>
    <xf numFmtId="0" fontId="3" fillId="3" borderId="26" xfId="0" applyNumberFormat="1" applyFont="1" applyFill="1" applyBorder="1" applyAlignment="1" applyProtection="1">
      <alignment horizontal="center" vertical="center"/>
      <protection hidden="1"/>
    </xf>
    <xf numFmtId="0" fontId="3" fillId="3" borderId="31" xfId="0" applyNumberFormat="1" applyFont="1" applyFill="1" applyBorder="1" applyAlignment="1" applyProtection="1">
      <alignment horizontal="center" vertical="center"/>
      <protection hidden="1"/>
    </xf>
    <xf numFmtId="0" fontId="3" fillId="3" borderId="27" xfId="0" applyNumberFormat="1" applyFont="1" applyFill="1" applyBorder="1" applyAlignment="1" applyProtection="1">
      <alignment horizontal="center" vertical="center"/>
      <protection hidden="1"/>
    </xf>
    <xf numFmtId="0" fontId="37" fillId="14" borderId="32" xfId="17" applyNumberFormat="1" applyFont="1" applyFill="1" applyBorder="1" applyAlignment="1" applyProtection="1">
      <alignment horizontal="center" vertical="center" wrapText="1"/>
      <protection hidden="1"/>
    </xf>
    <xf numFmtId="0" fontId="38" fillId="14" borderId="18" xfId="0" applyNumberFormat="1" applyFont="1" applyFill="1" applyBorder="1" applyAlignment="1" applyProtection="1">
      <alignment vertical="center"/>
      <protection hidden="1"/>
    </xf>
    <xf numFmtId="0" fontId="38" fillId="14" borderId="19" xfId="0" applyNumberFormat="1" applyFont="1" applyFill="1" applyBorder="1" applyAlignment="1" applyProtection="1">
      <alignment vertical="center"/>
      <protection hidden="1"/>
    </xf>
    <xf numFmtId="0" fontId="38" fillId="14" borderId="20" xfId="0" applyNumberFormat="1" applyFont="1" applyFill="1" applyBorder="1" applyAlignment="1" applyProtection="1">
      <alignment vertical="center"/>
      <protection hidden="1"/>
    </xf>
    <xf numFmtId="0" fontId="38" fillId="14" borderId="0" xfId="0" applyNumberFormat="1" applyFont="1" applyFill="1" applyAlignment="1" applyProtection="1">
      <alignment vertical="center"/>
      <protection hidden="1"/>
    </xf>
    <xf numFmtId="0" fontId="38" fillId="14" borderId="21" xfId="0" applyNumberFormat="1" applyFont="1" applyFill="1" applyBorder="1" applyAlignment="1" applyProtection="1">
      <alignment vertical="center"/>
      <protection hidden="1"/>
    </xf>
    <xf numFmtId="0" fontId="38" fillId="14" borderId="23" xfId="0" applyNumberFormat="1" applyFont="1" applyFill="1" applyBorder="1" applyAlignment="1" applyProtection="1">
      <alignment vertical="center"/>
      <protection hidden="1"/>
    </xf>
    <xf numFmtId="0" fontId="38" fillId="14" borderId="24" xfId="0" applyNumberFormat="1" applyFont="1" applyFill="1" applyBorder="1" applyAlignment="1" applyProtection="1">
      <alignment vertical="center"/>
      <protection hidden="1"/>
    </xf>
    <xf numFmtId="0" fontId="38" fillId="14" borderId="41" xfId="0" applyNumberFormat="1" applyFont="1" applyFill="1" applyBorder="1" applyAlignment="1" applyProtection="1">
      <alignment vertical="center"/>
      <protection hidden="1"/>
    </xf>
    <xf numFmtId="0" fontId="10" fillId="3" borderId="26" xfId="0" applyNumberFormat="1" applyFont="1" applyFill="1" applyBorder="1" applyAlignment="1" applyProtection="1">
      <alignment horizontal="center"/>
      <protection hidden="1"/>
    </xf>
    <xf numFmtId="0" fontId="10" fillId="3" borderId="31" xfId="0" applyNumberFormat="1" applyFont="1" applyFill="1" applyBorder="1" applyAlignment="1" applyProtection="1">
      <alignment horizontal="center"/>
      <protection hidden="1"/>
    </xf>
    <xf numFmtId="0" fontId="10" fillId="3" borderId="27" xfId="0" applyNumberFormat="1" applyFont="1" applyFill="1" applyBorder="1" applyAlignment="1" applyProtection="1">
      <alignment horizontal="center"/>
      <protection hidden="1"/>
    </xf>
    <xf numFmtId="0" fontId="41" fillId="14" borderId="26" xfId="18" applyNumberFormat="1" applyFont="1" applyFill="1" applyBorder="1" applyAlignment="1" applyProtection="1">
      <alignment horizontal="left"/>
    </xf>
    <xf numFmtId="0" fontId="40" fillId="14" borderId="27" xfId="0" applyNumberFormat="1" applyFont="1" applyFill="1" applyBorder="1" applyProtection="1"/>
    <xf numFmtId="0" fontId="41" fillId="14" borderId="31" xfId="17" applyNumberFormat="1" applyFont="1" applyFill="1" applyBorder="1" applyAlignment="1" applyProtection="1">
      <alignment horizontal="center"/>
      <protection hidden="1"/>
    </xf>
    <xf numFmtId="0" fontId="64" fillId="0" borderId="26" xfId="16" applyBorder="1" applyAlignment="1" applyProtection="1">
      <alignment horizontal="center" wrapText="1"/>
    </xf>
    <xf numFmtId="0" fontId="64" fillId="0" borderId="31" xfId="16" applyBorder="1" applyAlignment="1" applyProtection="1">
      <alignment horizontal="center" wrapText="1"/>
    </xf>
    <xf numFmtId="0" fontId="64" fillId="0" borderId="27" xfId="16" applyBorder="1" applyAlignment="1" applyProtection="1">
      <alignment horizontal="center" wrapText="1"/>
    </xf>
    <xf numFmtId="0" fontId="64" fillId="0" borderId="26" xfId="16" applyBorder="1" applyAlignment="1" applyProtection="1">
      <alignment horizontal="center" vertical="center"/>
      <protection locked="0"/>
    </xf>
    <xf numFmtId="0" fontId="64" fillId="0" borderId="27" xfId="16" applyBorder="1" applyAlignment="1" applyProtection="1">
      <alignment horizontal="center" vertical="center"/>
      <protection locked="0"/>
    </xf>
    <xf numFmtId="0" fontId="64" fillId="0" borderId="26" xfId="16" applyBorder="1" applyAlignment="1" applyProtection="1">
      <alignment horizontal="center" vertical="center"/>
    </xf>
    <xf numFmtId="0" fontId="64" fillId="0" borderId="27" xfId="16" applyBorder="1" applyAlignment="1" applyProtection="1">
      <alignment horizontal="center" vertical="center"/>
    </xf>
    <xf numFmtId="0" fontId="10" fillId="0" borderId="32" xfId="16" applyFont="1" applyBorder="1" applyAlignment="1">
      <alignment horizontal="center"/>
    </xf>
    <xf numFmtId="0" fontId="10" fillId="0" borderId="18" xfId="16" applyFont="1" applyBorder="1" applyAlignment="1">
      <alignment horizontal="center"/>
    </xf>
    <xf numFmtId="0" fontId="10" fillId="0" borderId="19" xfId="16" applyFont="1" applyBorder="1" applyAlignment="1">
      <alignment horizontal="center"/>
    </xf>
    <xf numFmtId="0" fontId="64" fillId="0" borderId="20" xfId="16" applyBorder="1" applyAlignment="1">
      <alignment horizontal="center"/>
    </xf>
    <xf numFmtId="0" fontId="64" fillId="0" borderId="0" xfId="16" applyBorder="1" applyAlignment="1">
      <alignment horizontal="center"/>
    </xf>
    <xf numFmtId="0" fontId="64" fillId="0" borderId="21" xfId="16" applyBorder="1" applyAlignment="1">
      <alignment horizontal="center"/>
    </xf>
    <xf numFmtId="0" fontId="64" fillId="0" borderId="62" xfId="16" applyFont="1" applyBorder="1" applyAlignment="1" applyProtection="1">
      <alignment horizontal="left" vertical="top" wrapText="1"/>
      <protection locked="0"/>
    </xf>
    <xf numFmtId="0" fontId="64" fillId="0" borderId="62" xfId="16" applyBorder="1" applyAlignment="1" applyProtection="1">
      <alignment horizontal="left" vertical="top" wrapText="1"/>
      <protection locked="0"/>
    </xf>
    <xf numFmtId="0" fontId="64" fillId="0" borderId="62" xfId="16" applyBorder="1" applyAlignment="1" applyProtection="1">
      <alignment horizontal="center" vertical="top" wrapText="1"/>
      <protection locked="0"/>
    </xf>
    <xf numFmtId="0" fontId="10" fillId="0" borderId="62" xfId="16" applyFont="1" applyBorder="1" applyAlignment="1" applyProtection="1">
      <alignment horizontal="center"/>
    </xf>
    <xf numFmtId="0" fontId="64" fillId="0" borderId="99" xfId="16" applyBorder="1" applyAlignment="1" applyProtection="1">
      <alignment horizontal="center" vertical="top" wrapText="1"/>
      <protection locked="0"/>
    </xf>
    <xf numFmtId="0" fontId="64" fillId="0" borderId="100" xfId="16" applyBorder="1" applyAlignment="1" applyProtection="1">
      <alignment horizontal="center" vertical="top" wrapText="1"/>
      <protection locked="0"/>
    </xf>
    <xf numFmtId="0" fontId="64" fillId="0" borderId="101" xfId="16" applyBorder="1" applyAlignment="1" applyProtection="1">
      <alignment horizontal="center" vertical="top" wrapText="1"/>
      <protection locked="0"/>
    </xf>
    <xf numFmtId="0" fontId="64" fillId="0" borderId="62" xfId="16" applyFont="1" applyBorder="1" applyAlignment="1" applyProtection="1">
      <alignment horizontal="center" vertical="top" wrapText="1"/>
      <protection locked="0"/>
    </xf>
    <xf numFmtId="0" fontId="64" fillId="0" borderId="62" xfId="16" applyBorder="1" applyAlignment="1">
      <alignment horizontal="center"/>
    </xf>
    <xf numFmtId="0" fontId="64" fillId="0" borderId="23" xfId="16" applyBorder="1" applyAlignment="1">
      <alignment horizontal="center"/>
    </xf>
    <xf numFmtId="0" fontId="64" fillId="0" borderId="24" xfId="16" applyBorder="1" applyAlignment="1">
      <alignment horizontal="center"/>
    </xf>
    <xf numFmtId="0" fontId="64" fillId="0" borderId="41" xfId="16" applyBorder="1" applyAlignment="1">
      <alignment horizontal="center"/>
    </xf>
    <xf numFmtId="0" fontId="10" fillId="0" borderId="0" xfId="16" applyFont="1" applyAlignment="1">
      <alignment horizontal="center" wrapText="1"/>
    </xf>
    <xf numFmtId="0" fontId="64" fillId="0" borderId="63" xfId="16" applyBorder="1" applyAlignment="1">
      <alignment horizontal="center" wrapText="1"/>
    </xf>
    <xf numFmtId="0" fontId="64" fillId="0" borderId="64" xfId="16" applyBorder="1" applyAlignment="1">
      <alignment horizontal="center" wrapText="1"/>
    </xf>
    <xf numFmtId="0" fontId="64" fillId="0" borderId="79" xfId="16" applyBorder="1" applyAlignment="1">
      <alignment horizontal="center" wrapText="1"/>
    </xf>
    <xf numFmtId="0" fontId="64" fillId="0" borderId="66" xfId="16" applyBorder="1" applyAlignment="1">
      <alignment horizontal="center" wrapText="1"/>
    </xf>
    <xf numFmtId="0" fontId="64" fillId="0" borderId="0" xfId="16" applyBorder="1" applyAlignment="1">
      <alignment horizontal="center" wrapText="1"/>
    </xf>
    <xf numFmtId="0" fontId="64" fillId="0" borderId="78" xfId="16" applyBorder="1" applyAlignment="1">
      <alignment horizontal="center" wrapText="1"/>
    </xf>
    <xf numFmtId="0" fontId="64" fillId="0" borderId="67" xfId="16" applyBorder="1" applyAlignment="1">
      <alignment horizontal="center" wrapText="1"/>
    </xf>
    <xf numFmtId="0" fontId="64" fillId="0" borderId="68" xfId="16" applyBorder="1" applyAlignment="1">
      <alignment horizontal="center" wrapText="1"/>
    </xf>
    <xf numFmtId="0" fontId="64" fillId="0" borderId="77" xfId="16" applyBorder="1" applyAlignment="1">
      <alignment horizontal="center" wrapText="1"/>
    </xf>
    <xf numFmtId="0" fontId="5" fillId="0" borderId="99" xfId="16" applyFont="1" applyBorder="1" applyAlignment="1" applyProtection="1">
      <alignment horizontal="center" vertical="top" wrapText="1"/>
      <protection locked="0"/>
    </xf>
    <xf numFmtId="0" fontId="64" fillId="0" borderId="99" xfId="16" applyBorder="1" applyAlignment="1">
      <alignment horizontal="center"/>
    </xf>
    <xf numFmtId="0" fontId="64" fillId="0" borderId="100" xfId="16" applyBorder="1" applyAlignment="1">
      <alignment horizontal="center"/>
    </xf>
    <xf numFmtId="0" fontId="64" fillId="0" borderId="101" xfId="16" applyBorder="1" applyAlignment="1">
      <alignment horizontal="center"/>
    </xf>
    <xf numFmtId="0" fontId="64" fillId="0" borderId="99" xfId="16" applyBorder="1" applyAlignment="1">
      <alignment horizontal="center" vertical="top"/>
    </xf>
    <xf numFmtId="0" fontId="64" fillId="0" borderId="100" xfId="16" applyBorder="1" applyAlignment="1">
      <alignment horizontal="center" vertical="top"/>
    </xf>
    <xf numFmtId="0" fontId="64" fillId="0" borderId="101" xfId="16" applyBorder="1" applyAlignment="1">
      <alignment horizontal="center" vertical="top"/>
    </xf>
    <xf numFmtId="0" fontId="64" fillId="0" borderId="63" xfId="16" applyBorder="1" applyAlignment="1">
      <alignment horizontal="center"/>
    </xf>
    <xf numFmtId="0" fontId="64" fillId="0" borderId="64" xfId="16" applyBorder="1" applyAlignment="1">
      <alignment horizontal="center"/>
    </xf>
    <xf numFmtId="0" fontId="64" fillId="0" borderId="79" xfId="16" applyBorder="1" applyAlignment="1">
      <alignment horizontal="center"/>
    </xf>
    <xf numFmtId="0" fontId="17" fillId="2" borderId="0" xfId="0" applyFont="1" applyFill="1" applyAlignment="1">
      <alignment horizontal="right"/>
    </xf>
    <xf numFmtId="0" fontId="19" fillId="2" borderId="48" xfId="0" applyFont="1" applyFill="1" applyBorder="1" applyAlignment="1" applyProtection="1">
      <alignment horizontal="center" vertical="center"/>
      <protection locked="0"/>
    </xf>
    <xf numFmtId="0" fontId="19" fillId="2" borderId="90" xfId="0" applyFont="1" applyFill="1" applyBorder="1" applyAlignment="1" applyProtection="1">
      <alignment horizontal="center" vertical="center"/>
      <protection locked="0"/>
    </xf>
    <xf numFmtId="0" fontId="22" fillId="7" borderId="24" xfId="8" applyFont="1" applyFill="1" applyBorder="1" applyAlignment="1" applyProtection="1">
      <alignment horizontal="center"/>
      <protection hidden="1"/>
    </xf>
    <xf numFmtId="0" fontId="22" fillId="7" borderId="24" xfId="15" applyFont="1" applyFill="1" applyBorder="1" applyAlignment="1" applyProtection="1">
      <alignment horizontal="center"/>
      <protection hidden="1"/>
    </xf>
    <xf numFmtId="0" fontId="22" fillId="7" borderId="24" xfId="12" applyFont="1" applyFill="1" applyBorder="1" applyAlignment="1" applyProtection="1">
      <alignment horizontal="center"/>
      <protection hidden="1"/>
    </xf>
    <xf numFmtId="0" fontId="22" fillId="10" borderId="24" xfId="12" applyFont="1" applyFill="1" applyBorder="1" applyAlignment="1" applyProtection="1">
      <alignment horizontal="center"/>
      <protection hidden="1"/>
    </xf>
    <xf numFmtId="0" fontId="10" fillId="7" borderId="24" xfId="14" applyFont="1" applyFill="1" applyBorder="1" applyAlignment="1" applyProtection="1">
      <alignment horizontal="center"/>
      <protection hidden="1"/>
    </xf>
    <xf numFmtId="0" fontId="22" fillId="7" borderId="24" xfId="23" applyFont="1" applyFill="1" applyBorder="1" applyAlignment="1" applyProtection="1">
      <alignment horizontal="center"/>
      <protection hidden="1"/>
    </xf>
    <xf numFmtId="0" fontId="22" fillId="7" borderId="24" xfId="9" applyFont="1" applyFill="1" applyBorder="1" applyAlignment="1" applyProtection="1">
      <alignment horizontal="center"/>
      <protection hidden="1"/>
    </xf>
    <xf numFmtId="0" fontId="22" fillId="7" borderId="24" xfId="24" applyFont="1" applyFill="1" applyBorder="1" applyAlignment="1" applyProtection="1">
      <alignment horizontal="center"/>
      <protection hidden="1"/>
    </xf>
  </cellXfs>
  <cellStyles count="26">
    <cellStyle name="Comma" xfId="1" builtinId="3"/>
    <cellStyle name="Comma 2" xfId="2" xr:uid="{00000000-0005-0000-0000-000001000000}"/>
    <cellStyle name="Currency" xfId="3" builtinId="4"/>
    <cellStyle name="Currency 2" xfId="4" xr:uid="{00000000-0005-0000-0000-000003000000}"/>
    <cellStyle name="Dollar" xfId="5" xr:uid="{00000000-0005-0000-0000-000004000000}"/>
    <cellStyle name="Normal" xfId="0" builtinId="0"/>
    <cellStyle name="Normal 2" xfId="6" xr:uid="{00000000-0005-0000-0000-000006000000}"/>
    <cellStyle name="Normal 3" xfId="21" xr:uid="{00000000-0005-0000-0000-000007000000}"/>
    <cellStyle name="Normal_Basswood order form-OP 072703" xfId="7" xr:uid="{00000000-0005-0000-0000-000008000000}"/>
    <cellStyle name="Normal_Basswood order form-OP 072703 2" xfId="8" xr:uid="{00000000-0005-0000-0000-000009000000}"/>
    <cellStyle name="Normal_Basswood order form-OP 072703 2 2" xfId="24" xr:uid="{00000000-0005-0000-0000-00000A000000}"/>
    <cellStyle name="Normal_Basswood order form-OP 072703 3" xfId="23" xr:uid="{00000000-0005-0000-0000-00000B000000}"/>
    <cellStyle name="Normal_Basswood order form-OP 072703_Cedarwood OD 15% sales order form v3" xfId="9" xr:uid="{00000000-0005-0000-0000-00000C000000}"/>
    <cellStyle name="Normal_Basswood order form-OP 072703_Cedarwood OD 15% sales order form v3 2" xfId="10" xr:uid="{00000000-0005-0000-0000-00000D000000}"/>
    <cellStyle name="Normal_Basswood order form-OP 072703_CoralWood spec sheet WIP" xfId="11" xr:uid="{00000000-0005-0000-0000-00000E000000}"/>
    <cellStyle name="Normal_Basswood order form-OP 072703_Craftwood OD 15% sales order form v3" xfId="12" xr:uid="{00000000-0005-0000-0000-00000F000000}"/>
    <cellStyle name="Normal_Basswood order form-OP 072703_Craftwood OD 15% sales order form v3 2" xfId="13" xr:uid="{00000000-0005-0000-0000-000010000000}"/>
    <cellStyle name="Normal_Basswood order form-OP 072703_Permawood OD 15% sales order form v3" xfId="14" xr:uid="{00000000-0005-0000-0000-000011000000}"/>
    <cellStyle name="Normal_Basswood order form-OP 072703_SCraft Order Card vD07" xfId="15" xr:uid="{00000000-0005-0000-0000-000012000000}"/>
    <cellStyle name="Normal_Basswood order form-OP 072703_SCraft Order Card vD07 2" xfId="25" xr:uid="{00000000-0005-0000-0000-000013000000}"/>
    <cellStyle name="Normal_Error Damage Blank vF" xfId="16" xr:uid="{00000000-0005-0000-0000-000014000000}"/>
    <cellStyle name="Normal_order test 3" xfId="17" xr:uid="{00000000-0005-0000-0000-000015000000}"/>
    <cellStyle name="Normal_order test 3_SCraft Order Card Combined v8" xfId="22" xr:uid="{00000000-0005-0000-0000-000016000000}"/>
    <cellStyle name="Normal_order test 3_SCraft Order Card v6" xfId="18" xr:uid="{00000000-0005-0000-0000-000017000000}"/>
    <cellStyle name="Normal_ShutterCraft Order Form" xfId="19" xr:uid="{00000000-0005-0000-0000-000018000000}"/>
    <cellStyle name="Percent 2" xfId="20" xr:uid="{00000000-0005-0000-0000-000019000000}"/>
  </cellStyles>
  <dxfs count="50">
    <dxf>
      <font>
        <color rgb="FF9C0006"/>
      </font>
      <fill>
        <patternFill>
          <bgColor rgb="FFFFC7CE"/>
        </patternFill>
      </fill>
    </dxf>
    <dxf>
      <fill>
        <patternFill>
          <bgColor indexed="41"/>
        </patternFill>
      </fill>
    </dxf>
    <dxf>
      <fill>
        <patternFill>
          <bgColor indexed="42"/>
        </patternFill>
      </fill>
    </dxf>
    <dxf>
      <font>
        <condense val="0"/>
        <extend val="0"/>
        <color auto="1"/>
      </font>
      <fill>
        <patternFill>
          <bgColor indexed="10"/>
        </patternFill>
      </fill>
    </dxf>
    <dxf>
      <fill>
        <patternFill>
          <bgColor indexed="10"/>
        </patternFill>
      </fill>
    </dxf>
    <dxf>
      <fill>
        <patternFill>
          <bgColor indexed="10"/>
        </patternFill>
      </fill>
    </dxf>
    <dxf>
      <fill>
        <patternFill>
          <bgColor rgb="FFFF0000"/>
        </patternFill>
      </fill>
    </dxf>
    <dxf>
      <font>
        <condense val="0"/>
        <extend val="0"/>
        <color indexed="9"/>
      </font>
      <fill>
        <patternFill patternType="solid">
          <bgColor indexed="9"/>
        </patternFill>
      </fill>
    </dxf>
    <dxf>
      <font>
        <color indexed="9"/>
      </font>
      <fill>
        <patternFill>
          <bgColor indexed="10"/>
        </patternFill>
      </fill>
    </dxf>
    <dxf>
      <font>
        <color theme="0"/>
      </font>
      <fill>
        <patternFill>
          <bgColor rgb="FFFF0000"/>
        </patternFill>
      </fill>
    </dxf>
    <dxf>
      <font>
        <condense val="0"/>
        <extend val="0"/>
        <color indexed="9"/>
      </font>
      <fill>
        <patternFill patternType="solid">
          <bgColor indexed="9"/>
        </patternFill>
      </fill>
      <border>
        <left/>
        <right/>
        <top/>
        <bottom/>
      </border>
    </dxf>
    <dxf>
      <font>
        <color indexed="9"/>
      </font>
      <fill>
        <patternFill>
          <bgColor indexed="10"/>
        </patternFill>
      </fill>
    </dxf>
    <dxf>
      <fill>
        <patternFill>
          <bgColor indexed="10"/>
        </patternFill>
      </fill>
    </dxf>
    <dxf>
      <fill>
        <patternFill>
          <bgColor indexed="10"/>
        </patternFill>
      </fill>
    </dxf>
    <dxf>
      <font>
        <color theme="0"/>
      </font>
      <fill>
        <patternFill>
          <bgColor rgb="FFFF0000"/>
        </patternFill>
      </fill>
    </dxf>
    <dxf>
      <fill>
        <patternFill>
          <bgColor indexed="10"/>
        </patternFill>
      </fill>
    </dxf>
    <dxf>
      <fill>
        <patternFill>
          <bgColor indexed="10"/>
        </patternFill>
      </fill>
    </dxf>
    <dxf>
      <font>
        <color indexed="9"/>
      </font>
      <fill>
        <patternFill>
          <bgColor indexed="9"/>
        </patternFill>
      </fill>
      <border>
        <left/>
        <right/>
        <top/>
        <bottom/>
      </border>
    </dxf>
    <dxf>
      <font>
        <color indexed="9"/>
      </font>
      <fill>
        <patternFill>
          <bgColor indexed="9"/>
        </patternFill>
      </fill>
      <border>
        <left/>
        <right/>
        <top/>
        <bottom/>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border>
        <left/>
        <top/>
        <bottom/>
      </border>
    </dxf>
    <dxf>
      <font>
        <color indexed="9"/>
      </font>
      <fill>
        <patternFill>
          <bgColor indexed="10"/>
        </patternFill>
      </fill>
    </dxf>
    <dxf>
      <font>
        <color theme="0"/>
        <name val="Cambria"/>
        <scheme val="none"/>
      </font>
      <fill>
        <patternFill>
          <bgColor indexed="9"/>
        </patternFill>
      </fill>
      <border>
        <left/>
        <right/>
        <top/>
        <bottom/>
      </border>
    </dxf>
    <dxf>
      <font>
        <color indexed="9"/>
      </font>
      <fill>
        <patternFill>
          <bgColor indexed="10"/>
        </patternFill>
      </fill>
    </dxf>
    <dxf>
      <fill>
        <patternFill>
          <bgColor rgb="FFFF0000"/>
        </patternFill>
      </fill>
    </dxf>
    <dxf>
      <fill>
        <patternFill patternType="none">
          <bgColor indexed="65"/>
        </patternFill>
      </fill>
      <border>
        <left style="thin">
          <color indexed="64"/>
        </left>
        <right/>
        <top/>
        <bottom/>
      </border>
    </dxf>
    <dxf>
      <fill>
        <patternFill>
          <bgColor indexed="10"/>
        </patternFill>
      </fill>
    </dxf>
    <dxf>
      <fill>
        <patternFill>
          <bgColor rgb="FFFF0000"/>
        </patternFill>
      </fill>
    </dxf>
    <dxf>
      <font>
        <color theme="0"/>
      </font>
      <fill>
        <patternFill>
          <bgColor theme="0"/>
        </patternFill>
      </fill>
      <border>
        <top/>
        <bottom/>
      </border>
    </dxf>
    <dxf>
      <font>
        <color theme="0"/>
      </font>
      <fill>
        <patternFill>
          <bgColor theme="0"/>
        </patternFill>
      </fill>
      <border>
        <top/>
        <bottom/>
      </border>
    </dxf>
    <dxf>
      <font>
        <color theme="0"/>
      </font>
      <fill>
        <patternFill>
          <bgColor theme="0"/>
        </patternFill>
      </fill>
      <border>
        <left/>
        <top/>
        <bottom/>
      </border>
    </dxf>
    <dxf>
      <fill>
        <patternFill>
          <bgColor rgb="FFFF0000"/>
        </patternFill>
      </fill>
    </dxf>
    <dxf>
      <font>
        <color theme="0"/>
      </font>
      <fill>
        <patternFill>
          <bgColor rgb="FFFF0000"/>
        </patternFill>
      </fill>
    </dxf>
    <dxf>
      <font>
        <color theme="0"/>
      </font>
      <fill>
        <patternFill>
          <bgColor theme="0" tint="-4.9989318521683403E-2"/>
        </patternFill>
      </fill>
    </dxf>
    <dxf>
      <font>
        <condense val="0"/>
        <extend val="0"/>
        <color indexed="9"/>
      </font>
      <fill>
        <patternFill>
          <bgColor indexed="10"/>
        </patternFill>
      </fill>
    </dxf>
    <dxf>
      <font>
        <condense val="0"/>
        <extend val="0"/>
        <color indexed="9"/>
      </font>
      <fill>
        <patternFill>
          <bgColor indexed="9"/>
        </patternFill>
      </fill>
    </dxf>
    <dxf>
      <fill>
        <patternFill>
          <bgColor indexed="10"/>
        </patternFill>
      </fill>
    </dxf>
    <dxf>
      <font>
        <condense val="0"/>
        <extend val="0"/>
        <color indexed="9"/>
      </font>
      <fill>
        <patternFill patternType="none">
          <bgColor indexed="65"/>
        </patternFill>
      </fill>
      <border>
        <left/>
        <right/>
        <top/>
        <bottom/>
      </border>
    </dxf>
    <dxf>
      <fill>
        <patternFill>
          <bgColor indexed="45"/>
        </patternFill>
      </fill>
    </dxf>
    <dxf>
      <font>
        <color theme="0"/>
        <name val="Cambria"/>
        <scheme val="none"/>
      </font>
      <fill>
        <patternFill>
          <bgColor indexed="9"/>
        </patternFill>
      </fill>
      <border>
        <left/>
        <right/>
        <top/>
        <bottom/>
      </border>
    </dxf>
    <dxf>
      <font>
        <color theme="0"/>
      </font>
      <fill>
        <patternFill>
          <bgColor rgb="FFFF0000"/>
        </patternFill>
      </fill>
    </dxf>
    <dxf>
      <font>
        <condense val="0"/>
        <extend val="0"/>
        <color indexed="9"/>
      </font>
      <fill>
        <patternFill>
          <bgColor indexed="10"/>
        </patternFill>
      </fill>
    </dxf>
    <dxf>
      <font>
        <condense val="0"/>
        <extend val="0"/>
        <color indexed="9"/>
      </font>
      <fill>
        <patternFill>
          <bgColor indexed="10"/>
        </patternFill>
      </fill>
    </dxf>
    <dxf>
      <font>
        <condense val="0"/>
        <extend val="0"/>
        <color indexed="9"/>
      </font>
      <fill>
        <patternFill>
          <bgColor indexed="10"/>
        </patternFill>
      </fill>
    </dxf>
    <dxf>
      <font>
        <color indexed="9"/>
      </font>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28545C"/>
      <rgbColor rgb="0082BDCF"/>
      <rgbColor rgb="00BEE7FD"/>
      <rgbColor rgb="00FA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Radio" checked="Checked" firstButton="1" fmlaLink="'Pricing and calculations'!$H$2" lockText="1" noThreeD="1"/>
</file>

<file path=xl/ctrlProps/ctrlProp10.xml><?xml version="1.0" encoding="utf-8"?>
<formControlPr xmlns="http://schemas.microsoft.com/office/spreadsheetml/2009/9/main" objectType="CheckBox" fmlaLink="$AI$14" lockText="1" noThreeD="1"/>
</file>

<file path=xl/ctrlProps/ctrlProp100.xml><?xml version="1.0" encoding="utf-8"?>
<formControlPr xmlns="http://schemas.microsoft.com/office/spreadsheetml/2009/9/main" objectType="CheckBox" fmlaLink="'Pricing and calculations'!G89" lockText="1" noThreeD="1"/>
</file>

<file path=xl/ctrlProps/ctrlProp101.xml><?xml version="1.0" encoding="utf-8"?>
<formControlPr xmlns="http://schemas.microsoft.com/office/spreadsheetml/2009/9/main" objectType="CheckBox" fmlaLink="'Pricing and calculations'!D89" lockText="1" noThreeD="1"/>
</file>

<file path=xl/ctrlProps/ctrlProp102.xml><?xml version="1.0" encoding="utf-8"?>
<formControlPr xmlns="http://schemas.microsoft.com/office/spreadsheetml/2009/9/main" objectType="CheckBox" fmlaLink="'Pricing and calculations'!E89" lockText="1" noThreeD="1"/>
</file>

<file path=xl/ctrlProps/ctrlProp103.xml><?xml version="1.0" encoding="utf-8"?>
<formControlPr xmlns="http://schemas.microsoft.com/office/spreadsheetml/2009/9/main" objectType="CheckBox" fmlaLink="'Pricing and calculations'!$F$90" lockText="1" noThreeD="1"/>
</file>

<file path=xl/ctrlProps/ctrlProp104.xml><?xml version="1.0" encoding="utf-8"?>
<formControlPr xmlns="http://schemas.microsoft.com/office/spreadsheetml/2009/9/main" objectType="CheckBox" fmlaLink="'Pricing and calculations'!G90" lockText="1" noThreeD="1"/>
</file>

<file path=xl/ctrlProps/ctrlProp105.xml><?xml version="1.0" encoding="utf-8"?>
<formControlPr xmlns="http://schemas.microsoft.com/office/spreadsheetml/2009/9/main" objectType="CheckBox" fmlaLink="'Pricing and calculations'!D90" lockText="1" noThreeD="1"/>
</file>

<file path=xl/ctrlProps/ctrlProp106.xml><?xml version="1.0" encoding="utf-8"?>
<formControlPr xmlns="http://schemas.microsoft.com/office/spreadsheetml/2009/9/main" objectType="CheckBox" fmlaLink="'Pricing and calculations'!E90" lockText="1" noThreeD="1"/>
</file>

<file path=xl/ctrlProps/ctrlProp107.xml><?xml version="1.0" encoding="utf-8"?>
<formControlPr xmlns="http://schemas.microsoft.com/office/spreadsheetml/2009/9/main" objectType="CheckBox" fmlaLink="'Pricing and calculations'!$F$91" lockText="1" noThreeD="1"/>
</file>

<file path=xl/ctrlProps/ctrlProp108.xml><?xml version="1.0" encoding="utf-8"?>
<formControlPr xmlns="http://schemas.microsoft.com/office/spreadsheetml/2009/9/main" objectType="CheckBox" fmlaLink="'Pricing and calculations'!G91" lockText="1" noThreeD="1"/>
</file>

<file path=xl/ctrlProps/ctrlProp109.xml><?xml version="1.0" encoding="utf-8"?>
<formControlPr xmlns="http://schemas.microsoft.com/office/spreadsheetml/2009/9/main" objectType="CheckBox" fmlaLink="'Pricing and calculations'!D91" lockText="1" noThreeD="1"/>
</file>

<file path=xl/ctrlProps/ctrlProp11.xml><?xml version="1.0" encoding="utf-8"?>
<formControlPr xmlns="http://schemas.microsoft.com/office/spreadsheetml/2009/9/main" objectType="CheckBox" fmlaLink="$AI$15" lockText="1" noThreeD="1"/>
</file>

<file path=xl/ctrlProps/ctrlProp110.xml><?xml version="1.0" encoding="utf-8"?>
<formControlPr xmlns="http://schemas.microsoft.com/office/spreadsheetml/2009/9/main" objectType="CheckBox" fmlaLink="'Pricing and calculations'!E91" lockText="1" noThreeD="1"/>
</file>

<file path=xl/ctrlProps/ctrlProp111.xml><?xml version="1.0" encoding="utf-8"?>
<formControlPr xmlns="http://schemas.microsoft.com/office/spreadsheetml/2009/9/main" objectType="CheckBox" fmlaLink="'Pricing and calculations'!$F$92" lockText="1" noThreeD="1"/>
</file>

<file path=xl/ctrlProps/ctrlProp112.xml><?xml version="1.0" encoding="utf-8"?>
<formControlPr xmlns="http://schemas.microsoft.com/office/spreadsheetml/2009/9/main" objectType="CheckBox" fmlaLink="'Pricing and calculations'!G92" lockText="1" noThreeD="1"/>
</file>

<file path=xl/ctrlProps/ctrlProp113.xml><?xml version="1.0" encoding="utf-8"?>
<formControlPr xmlns="http://schemas.microsoft.com/office/spreadsheetml/2009/9/main" objectType="CheckBox" fmlaLink="'Pricing and calculations'!D92" lockText="1" noThreeD="1"/>
</file>

<file path=xl/ctrlProps/ctrlProp114.xml><?xml version="1.0" encoding="utf-8"?>
<formControlPr xmlns="http://schemas.microsoft.com/office/spreadsheetml/2009/9/main" objectType="CheckBox" fmlaLink="'Pricing and calculations'!E92" lockText="1" noThreeD="1"/>
</file>

<file path=xl/ctrlProps/ctrlProp115.xml><?xml version="1.0" encoding="utf-8"?>
<formControlPr xmlns="http://schemas.microsoft.com/office/spreadsheetml/2009/9/main" objectType="CheckBox" fmlaLink="'Pricing and calculations'!$F$93" lockText="1" noThreeD="1"/>
</file>

<file path=xl/ctrlProps/ctrlProp116.xml><?xml version="1.0" encoding="utf-8"?>
<formControlPr xmlns="http://schemas.microsoft.com/office/spreadsheetml/2009/9/main" objectType="CheckBox" fmlaLink="'Pricing and calculations'!G93" lockText="1" noThreeD="1"/>
</file>

<file path=xl/ctrlProps/ctrlProp117.xml><?xml version="1.0" encoding="utf-8"?>
<formControlPr xmlns="http://schemas.microsoft.com/office/spreadsheetml/2009/9/main" objectType="CheckBox" fmlaLink="'Pricing and calculations'!D93" lockText="1" noThreeD="1"/>
</file>

<file path=xl/ctrlProps/ctrlProp118.xml><?xml version="1.0" encoding="utf-8"?>
<formControlPr xmlns="http://schemas.microsoft.com/office/spreadsheetml/2009/9/main" objectType="CheckBox" fmlaLink="'Pricing and calculations'!E93" lockText="1" noThreeD="1"/>
</file>

<file path=xl/ctrlProps/ctrlProp119.xml><?xml version="1.0" encoding="utf-8"?>
<formControlPr xmlns="http://schemas.microsoft.com/office/spreadsheetml/2009/9/main" objectType="CheckBox" fmlaLink="'Pricing and calculations'!$F$94" lockText="1" noThreeD="1"/>
</file>

<file path=xl/ctrlProps/ctrlProp12.xml><?xml version="1.0" encoding="utf-8"?>
<formControlPr xmlns="http://schemas.microsoft.com/office/spreadsheetml/2009/9/main" objectType="CheckBox" fmlaLink="$AI$16" lockText="1" noThreeD="1"/>
</file>

<file path=xl/ctrlProps/ctrlProp120.xml><?xml version="1.0" encoding="utf-8"?>
<formControlPr xmlns="http://schemas.microsoft.com/office/spreadsheetml/2009/9/main" objectType="CheckBox" fmlaLink="'Pricing and calculations'!G94" lockText="1" noThreeD="1"/>
</file>

<file path=xl/ctrlProps/ctrlProp121.xml><?xml version="1.0" encoding="utf-8"?>
<formControlPr xmlns="http://schemas.microsoft.com/office/spreadsheetml/2009/9/main" objectType="CheckBox" fmlaLink="'Pricing and calculations'!D94" lockText="1" noThreeD="1"/>
</file>

<file path=xl/ctrlProps/ctrlProp122.xml><?xml version="1.0" encoding="utf-8"?>
<formControlPr xmlns="http://schemas.microsoft.com/office/spreadsheetml/2009/9/main" objectType="CheckBox" fmlaLink="'Pricing and calculations'!E94" lockText="1" noThreeD="1"/>
</file>

<file path=xl/ctrlProps/ctrlProp123.xml><?xml version="1.0" encoding="utf-8"?>
<formControlPr xmlns="http://schemas.microsoft.com/office/spreadsheetml/2009/9/main" objectType="CheckBox" fmlaLink="'Pricing and calculations'!$J$75" lockText="1" noThreeD="1"/>
</file>

<file path=xl/ctrlProps/ctrlProp124.xml><?xml version="1.0" encoding="utf-8"?>
<formControlPr xmlns="http://schemas.microsoft.com/office/spreadsheetml/2009/9/main" objectType="CheckBox" fmlaLink="'Pricing and calculations'!$K$75" lockText="1" noThreeD="1"/>
</file>

<file path=xl/ctrlProps/ctrlProp125.xml><?xml version="1.0" encoding="utf-8"?>
<formControlPr xmlns="http://schemas.microsoft.com/office/spreadsheetml/2009/9/main" objectType="CheckBox" fmlaLink="'Pricing and calculations'!$H$75" lockText="1" noThreeD="1"/>
</file>

<file path=xl/ctrlProps/ctrlProp126.xml><?xml version="1.0" encoding="utf-8"?>
<formControlPr xmlns="http://schemas.microsoft.com/office/spreadsheetml/2009/9/main" objectType="CheckBox" fmlaLink="'Pricing and calculations'!$I$75" lockText="1" noThreeD="1"/>
</file>

<file path=xl/ctrlProps/ctrlProp127.xml><?xml version="1.0" encoding="utf-8"?>
<formControlPr xmlns="http://schemas.microsoft.com/office/spreadsheetml/2009/9/main" objectType="CheckBox" fmlaLink="'Pricing and calculations'!$J$76" lockText="1" noThreeD="1"/>
</file>

<file path=xl/ctrlProps/ctrlProp128.xml><?xml version="1.0" encoding="utf-8"?>
<formControlPr xmlns="http://schemas.microsoft.com/office/spreadsheetml/2009/9/main" objectType="CheckBox" fmlaLink="'Pricing and calculations'!$K$76" lockText="1" noThreeD="1"/>
</file>

<file path=xl/ctrlProps/ctrlProp129.xml><?xml version="1.0" encoding="utf-8"?>
<formControlPr xmlns="http://schemas.microsoft.com/office/spreadsheetml/2009/9/main" objectType="CheckBox" fmlaLink="'Pricing and calculations'!$H$76" lockText="1" noThreeD="1"/>
</file>

<file path=xl/ctrlProps/ctrlProp13.xml><?xml version="1.0" encoding="utf-8"?>
<formControlPr xmlns="http://schemas.microsoft.com/office/spreadsheetml/2009/9/main" objectType="CheckBox" fmlaLink="$AI$17" lockText="1" noThreeD="1"/>
</file>

<file path=xl/ctrlProps/ctrlProp130.xml><?xml version="1.0" encoding="utf-8"?>
<formControlPr xmlns="http://schemas.microsoft.com/office/spreadsheetml/2009/9/main" objectType="CheckBox" fmlaLink="'Pricing and calculations'!$I$76" lockText="1" noThreeD="1"/>
</file>

<file path=xl/ctrlProps/ctrlProp131.xml><?xml version="1.0" encoding="utf-8"?>
<formControlPr xmlns="http://schemas.microsoft.com/office/spreadsheetml/2009/9/main" objectType="CheckBox" fmlaLink="'Pricing and calculations'!$J$77" lockText="1" noThreeD="1"/>
</file>

<file path=xl/ctrlProps/ctrlProp132.xml><?xml version="1.0" encoding="utf-8"?>
<formControlPr xmlns="http://schemas.microsoft.com/office/spreadsheetml/2009/9/main" objectType="CheckBox" fmlaLink="'Pricing and calculations'!$K$77" lockText="1" noThreeD="1"/>
</file>

<file path=xl/ctrlProps/ctrlProp133.xml><?xml version="1.0" encoding="utf-8"?>
<formControlPr xmlns="http://schemas.microsoft.com/office/spreadsheetml/2009/9/main" objectType="CheckBox" fmlaLink="'Pricing and calculations'!$H$77" lockText="1" noThreeD="1"/>
</file>

<file path=xl/ctrlProps/ctrlProp134.xml><?xml version="1.0" encoding="utf-8"?>
<formControlPr xmlns="http://schemas.microsoft.com/office/spreadsheetml/2009/9/main" objectType="CheckBox" fmlaLink="'Pricing and calculations'!$I$77" lockText="1" noThreeD="1"/>
</file>

<file path=xl/ctrlProps/ctrlProp135.xml><?xml version="1.0" encoding="utf-8"?>
<formControlPr xmlns="http://schemas.microsoft.com/office/spreadsheetml/2009/9/main" objectType="CheckBox" fmlaLink="'Pricing and calculations'!$J$78" lockText="1" noThreeD="1"/>
</file>

<file path=xl/ctrlProps/ctrlProp136.xml><?xml version="1.0" encoding="utf-8"?>
<formControlPr xmlns="http://schemas.microsoft.com/office/spreadsheetml/2009/9/main" objectType="CheckBox" fmlaLink="'Pricing and calculations'!$K$78" lockText="1" noThreeD="1"/>
</file>

<file path=xl/ctrlProps/ctrlProp137.xml><?xml version="1.0" encoding="utf-8"?>
<formControlPr xmlns="http://schemas.microsoft.com/office/spreadsheetml/2009/9/main" objectType="CheckBox" fmlaLink="'Pricing and calculations'!$H$78" lockText="1" noThreeD="1"/>
</file>

<file path=xl/ctrlProps/ctrlProp138.xml><?xml version="1.0" encoding="utf-8"?>
<formControlPr xmlns="http://schemas.microsoft.com/office/spreadsheetml/2009/9/main" objectType="CheckBox" fmlaLink="'Pricing and calculations'!$I$78" lockText="1" noThreeD="1"/>
</file>

<file path=xl/ctrlProps/ctrlProp139.xml><?xml version="1.0" encoding="utf-8"?>
<formControlPr xmlns="http://schemas.microsoft.com/office/spreadsheetml/2009/9/main" objectType="CheckBox" fmlaLink="'Pricing and calculations'!$J$79" lockText="1" noThreeD="1"/>
</file>

<file path=xl/ctrlProps/ctrlProp14.xml><?xml version="1.0" encoding="utf-8"?>
<formControlPr xmlns="http://schemas.microsoft.com/office/spreadsheetml/2009/9/main" objectType="CheckBox" fmlaLink="$AI$18" lockText="1" noThreeD="1"/>
</file>

<file path=xl/ctrlProps/ctrlProp140.xml><?xml version="1.0" encoding="utf-8"?>
<formControlPr xmlns="http://schemas.microsoft.com/office/spreadsheetml/2009/9/main" objectType="CheckBox" fmlaLink="'Pricing and calculations'!$K$79" lockText="1" noThreeD="1"/>
</file>

<file path=xl/ctrlProps/ctrlProp141.xml><?xml version="1.0" encoding="utf-8"?>
<formControlPr xmlns="http://schemas.microsoft.com/office/spreadsheetml/2009/9/main" objectType="CheckBox" fmlaLink="'Pricing and calculations'!$H$79" lockText="1" noThreeD="1"/>
</file>

<file path=xl/ctrlProps/ctrlProp142.xml><?xml version="1.0" encoding="utf-8"?>
<formControlPr xmlns="http://schemas.microsoft.com/office/spreadsheetml/2009/9/main" objectType="CheckBox" fmlaLink="'Pricing and calculations'!$I$79" lockText="1" noThreeD="1"/>
</file>

<file path=xl/ctrlProps/ctrlProp143.xml><?xml version="1.0" encoding="utf-8"?>
<formControlPr xmlns="http://schemas.microsoft.com/office/spreadsheetml/2009/9/main" objectType="CheckBox" fmlaLink="'Pricing and calculations'!$J$80" lockText="1" noThreeD="1"/>
</file>

<file path=xl/ctrlProps/ctrlProp144.xml><?xml version="1.0" encoding="utf-8"?>
<formControlPr xmlns="http://schemas.microsoft.com/office/spreadsheetml/2009/9/main" objectType="CheckBox" fmlaLink="'Pricing and calculations'!$K$80" lockText="1" noThreeD="1"/>
</file>

<file path=xl/ctrlProps/ctrlProp145.xml><?xml version="1.0" encoding="utf-8"?>
<formControlPr xmlns="http://schemas.microsoft.com/office/spreadsheetml/2009/9/main" objectType="CheckBox" fmlaLink="'Pricing and calculations'!$H$80" lockText="1" noThreeD="1"/>
</file>

<file path=xl/ctrlProps/ctrlProp146.xml><?xml version="1.0" encoding="utf-8"?>
<formControlPr xmlns="http://schemas.microsoft.com/office/spreadsheetml/2009/9/main" objectType="CheckBox" fmlaLink="'Pricing and calculations'!$I$80" lockText="1" noThreeD="1"/>
</file>

<file path=xl/ctrlProps/ctrlProp147.xml><?xml version="1.0" encoding="utf-8"?>
<formControlPr xmlns="http://schemas.microsoft.com/office/spreadsheetml/2009/9/main" objectType="CheckBox" fmlaLink="'Pricing and calculations'!$J$81" lockText="1" noThreeD="1"/>
</file>

<file path=xl/ctrlProps/ctrlProp148.xml><?xml version="1.0" encoding="utf-8"?>
<formControlPr xmlns="http://schemas.microsoft.com/office/spreadsheetml/2009/9/main" objectType="CheckBox" fmlaLink="'Pricing and calculations'!$K$81" lockText="1" noThreeD="1"/>
</file>

<file path=xl/ctrlProps/ctrlProp149.xml><?xml version="1.0" encoding="utf-8"?>
<formControlPr xmlns="http://schemas.microsoft.com/office/spreadsheetml/2009/9/main" objectType="CheckBox" fmlaLink="'Pricing and calculations'!$H$81" lockText="1" noThreeD="1"/>
</file>

<file path=xl/ctrlProps/ctrlProp15.xml><?xml version="1.0" encoding="utf-8"?>
<formControlPr xmlns="http://schemas.microsoft.com/office/spreadsheetml/2009/9/main" objectType="CheckBox" fmlaLink="$AI$19" lockText="1" noThreeD="1"/>
</file>

<file path=xl/ctrlProps/ctrlProp150.xml><?xml version="1.0" encoding="utf-8"?>
<formControlPr xmlns="http://schemas.microsoft.com/office/spreadsheetml/2009/9/main" objectType="CheckBox" fmlaLink="'Pricing and calculations'!$I$81" lockText="1" noThreeD="1"/>
</file>

<file path=xl/ctrlProps/ctrlProp151.xml><?xml version="1.0" encoding="utf-8"?>
<formControlPr xmlns="http://schemas.microsoft.com/office/spreadsheetml/2009/9/main" objectType="CheckBox" fmlaLink="'Pricing and calculations'!$J$82" lockText="1" noThreeD="1"/>
</file>

<file path=xl/ctrlProps/ctrlProp152.xml><?xml version="1.0" encoding="utf-8"?>
<formControlPr xmlns="http://schemas.microsoft.com/office/spreadsheetml/2009/9/main" objectType="CheckBox" fmlaLink="'Pricing and calculations'!$K$82" lockText="1" noThreeD="1"/>
</file>

<file path=xl/ctrlProps/ctrlProp153.xml><?xml version="1.0" encoding="utf-8"?>
<formControlPr xmlns="http://schemas.microsoft.com/office/spreadsheetml/2009/9/main" objectType="CheckBox" fmlaLink="'Pricing and calculations'!$H$82" lockText="1" noThreeD="1"/>
</file>

<file path=xl/ctrlProps/ctrlProp154.xml><?xml version="1.0" encoding="utf-8"?>
<formControlPr xmlns="http://schemas.microsoft.com/office/spreadsheetml/2009/9/main" objectType="CheckBox" fmlaLink="'Pricing and calculations'!$I$82" lockText="1" noThreeD="1"/>
</file>

<file path=xl/ctrlProps/ctrlProp155.xml><?xml version="1.0" encoding="utf-8"?>
<formControlPr xmlns="http://schemas.microsoft.com/office/spreadsheetml/2009/9/main" objectType="CheckBox" fmlaLink="'Pricing and calculations'!$J$83" lockText="1" noThreeD="1"/>
</file>

<file path=xl/ctrlProps/ctrlProp156.xml><?xml version="1.0" encoding="utf-8"?>
<formControlPr xmlns="http://schemas.microsoft.com/office/spreadsheetml/2009/9/main" objectType="CheckBox" fmlaLink="'Pricing and calculations'!$K$83" lockText="1" noThreeD="1"/>
</file>

<file path=xl/ctrlProps/ctrlProp157.xml><?xml version="1.0" encoding="utf-8"?>
<formControlPr xmlns="http://schemas.microsoft.com/office/spreadsheetml/2009/9/main" objectType="CheckBox" fmlaLink="'Pricing and calculations'!$H$83" lockText="1" noThreeD="1"/>
</file>

<file path=xl/ctrlProps/ctrlProp158.xml><?xml version="1.0" encoding="utf-8"?>
<formControlPr xmlns="http://schemas.microsoft.com/office/spreadsheetml/2009/9/main" objectType="CheckBox" fmlaLink="'Pricing and calculations'!$I$83" lockText="1" noThreeD="1"/>
</file>

<file path=xl/ctrlProps/ctrlProp159.xml><?xml version="1.0" encoding="utf-8"?>
<formControlPr xmlns="http://schemas.microsoft.com/office/spreadsheetml/2009/9/main" objectType="CheckBox" fmlaLink="'Pricing and calculations'!$J$84" lockText="1" noThreeD="1"/>
</file>

<file path=xl/ctrlProps/ctrlProp16.xml><?xml version="1.0" encoding="utf-8"?>
<formControlPr xmlns="http://schemas.microsoft.com/office/spreadsheetml/2009/9/main" objectType="CheckBox" fmlaLink="$AI$20" lockText="1" noThreeD="1"/>
</file>

<file path=xl/ctrlProps/ctrlProp160.xml><?xml version="1.0" encoding="utf-8"?>
<formControlPr xmlns="http://schemas.microsoft.com/office/spreadsheetml/2009/9/main" objectType="CheckBox" fmlaLink="'Pricing and calculations'!$K$84" lockText="1" noThreeD="1"/>
</file>

<file path=xl/ctrlProps/ctrlProp161.xml><?xml version="1.0" encoding="utf-8"?>
<formControlPr xmlns="http://schemas.microsoft.com/office/spreadsheetml/2009/9/main" objectType="CheckBox" fmlaLink="'Pricing and calculations'!$H$84" lockText="1" noThreeD="1"/>
</file>

<file path=xl/ctrlProps/ctrlProp162.xml><?xml version="1.0" encoding="utf-8"?>
<formControlPr xmlns="http://schemas.microsoft.com/office/spreadsheetml/2009/9/main" objectType="CheckBox" fmlaLink="'Pricing and calculations'!$I$84" lockText="1" noThreeD="1"/>
</file>

<file path=xl/ctrlProps/ctrlProp163.xml><?xml version="1.0" encoding="utf-8"?>
<formControlPr xmlns="http://schemas.microsoft.com/office/spreadsheetml/2009/9/main" objectType="CheckBox" fmlaLink="'Pricing and calculations'!$J$85" lockText="1" noThreeD="1"/>
</file>

<file path=xl/ctrlProps/ctrlProp164.xml><?xml version="1.0" encoding="utf-8"?>
<formControlPr xmlns="http://schemas.microsoft.com/office/spreadsheetml/2009/9/main" objectType="CheckBox" fmlaLink="'Pricing and calculations'!$K$85" lockText="1" noThreeD="1"/>
</file>

<file path=xl/ctrlProps/ctrlProp165.xml><?xml version="1.0" encoding="utf-8"?>
<formControlPr xmlns="http://schemas.microsoft.com/office/spreadsheetml/2009/9/main" objectType="CheckBox" fmlaLink="'Pricing and calculations'!$H$85" lockText="1" noThreeD="1"/>
</file>

<file path=xl/ctrlProps/ctrlProp166.xml><?xml version="1.0" encoding="utf-8"?>
<formControlPr xmlns="http://schemas.microsoft.com/office/spreadsheetml/2009/9/main" objectType="CheckBox" fmlaLink="'Pricing and calculations'!$I$85" lockText="1" noThreeD="1"/>
</file>

<file path=xl/ctrlProps/ctrlProp167.xml><?xml version="1.0" encoding="utf-8"?>
<formControlPr xmlns="http://schemas.microsoft.com/office/spreadsheetml/2009/9/main" objectType="CheckBox" fmlaLink="'Pricing and calculations'!$J$86" lockText="1" noThreeD="1"/>
</file>

<file path=xl/ctrlProps/ctrlProp168.xml><?xml version="1.0" encoding="utf-8"?>
<formControlPr xmlns="http://schemas.microsoft.com/office/spreadsheetml/2009/9/main" objectType="CheckBox" fmlaLink="'Pricing and calculations'!$K$86" lockText="1" noThreeD="1"/>
</file>

<file path=xl/ctrlProps/ctrlProp169.xml><?xml version="1.0" encoding="utf-8"?>
<formControlPr xmlns="http://schemas.microsoft.com/office/spreadsheetml/2009/9/main" objectType="CheckBox" fmlaLink="'Pricing and calculations'!$H$86" lockText="1" noThreeD="1"/>
</file>

<file path=xl/ctrlProps/ctrlProp17.xml><?xml version="1.0" encoding="utf-8"?>
<formControlPr xmlns="http://schemas.microsoft.com/office/spreadsheetml/2009/9/main" objectType="CheckBox" fmlaLink="$AI$21" lockText="1" noThreeD="1"/>
</file>

<file path=xl/ctrlProps/ctrlProp170.xml><?xml version="1.0" encoding="utf-8"?>
<formControlPr xmlns="http://schemas.microsoft.com/office/spreadsheetml/2009/9/main" objectType="CheckBox" fmlaLink="'Pricing and calculations'!$I$86" lockText="1" noThreeD="1"/>
</file>

<file path=xl/ctrlProps/ctrlProp171.xml><?xml version="1.0" encoding="utf-8"?>
<formControlPr xmlns="http://schemas.microsoft.com/office/spreadsheetml/2009/9/main" objectType="CheckBox" fmlaLink="'Pricing and calculations'!$J$87" lockText="1" noThreeD="1"/>
</file>

<file path=xl/ctrlProps/ctrlProp172.xml><?xml version="1.0" encoding="utf-8"?>
<formControlPr xmlns="http://schemas.microsoft.com/office/spreadsheetml/2009/9/main" objectType="CheckBox" fmlaLink="'Pricing and calculations'!$K$87" lockText="1" noThreeD="1"/>
</file>

<file path=xl/ctrlProps/ctrlProp173.xml><?xml version="1.0" encoding="utf-8"?>
<formControlPr xmlns="http://schemas.microsoft.com/office/spreadsheetml/2009/9/main" objectType="CheckBox" fmlaLink="'Pricing and calculations'!$H$87" lockText="1" noThreeD="1"/>
</file>

<file path=xl/ctrlProps/ctrlProp174.xml><?xml version="1.0" encoding="utf-8"?>
<formControlPr xmlns="http://schemas.microsoft.com/office/spreadsheetml/2009/9/main" objectType="CheckBox" fmlaLink="'Pricing and calculations'!$I$87" lockText="1" noThreeD="1"/>
</file>

<file path=xl/ctrlProps/ctrlProp175.xml><?xml version="1.0" encoding="utf-8"?>
<formControlPr xmlns="http://schemas.microsoft.com/office/spreadsheetml/2009/9/main" objectType="CheckBox" fmlaLink="'Pricing and calculations'!$J$88" lockText="1" noThreeD="1"/>
</file>

<file path=xl/ctrlProps/ctrlProp176.xml><?xml version="1.0" encoding="utf-8"?>
<formControlPr xmlns="http://schemas.microsoft.com/office/spreadsheetml/2009/9/main" objectType="CheckBox" fmlaLink="'Pricing and calculations'!$K$88" lockText="1" noThreeD="1"/>
</file>

<file path=xl/ctrlProps/ctrlProp177.xml><?xml version="1.0" encoding="utf-8"?>
<formControlPr xmlns="http://schemas.microsoft.com/office/spreadsheetml/2009/9/main" objectType="CheckBox" fmlaLink="'Pricing and calculations'!$H$88" lockText="1" noThreeD="1"/>
</file>

<file path=xl/ctrlProps/ctrlProp178.xml><?xml version="1.0" encoding="utf-8"?>
<formControlPr xmlns="http://schemas.microsoft.com/office/spreadsheetml/2009/9/main" objectType="CheckBox" fmlaLink="'Pricing and calculations'!$I$88" lockText="1" noThreeD="1"/>
</file>

<file path=xl/ctrlProps/ctrlProp179.xml><?xml version="1.0" encoding="utf-8"?>
<formControlPr xmlns="http://schemas.microsoft.com/office/spreadsheetml/2009/9/main" objectType="CheckBox" fmlaLink="'Pricing and calculations'!$J$89" lockText="1" noThreeD="1"/>
</file>

<file path=xl/ctrlProps/ctrlProp18.xml><?xml version="1.0" encoding="utf-8"?>
<formControlPr xmlns="http://schemas.microsoft.com/office/spreadsheetml/2009/9/main" objectType="CheckBox" fmlaLink="$AI$22" lockText="1" noThreeD="1"/>
</file>

<file path=xl/ctrlProps/ctrlProp180.xml><?xml version="1.0" encoding="utf-8"?>
<formControlPr xmlns="http://schemas.microsoft.com/office/spreadsheetml/2009/9/main" objectType="CheckBox" fmlaLink="'Pricing and calculations'!$K$89" lockText="1" noThreeD="1"/>
</file>

<file path=xl/ctrlProps/ctrlProp181.xml><?xml version="1.0" encoding="utf-8"?>
<formControlPr xmlns="http://schemas.microsoft.com/office/spreadsheetml/2009/9/main" objectType="CheckBox" fmlaLink="'Pricing and calculations'!$H$89" lockText="1" noThreeD="1"/>
</file>

<file path=xl/ctrlProps/ctrlProp182.xml><?xml version="1.0" encoding="utf-8"?>
<formControlPr xmlns="http://schemas.microsoft.com/office/spreadsheetml/2009/9/main" objectType="CheckBox" fmlaLink="'Pricing and calculations'!$I$89" lockText="1" noThreeD="1"/>
</file>

<file path=xl/ctrlProps/ctrlProp183.xml><?xml version="1.0" encoding="utf-8"?>
<formControlPr xmlns="http://schemas.microsoft.com/office/spreadsheetml/2009/9/main" objectType="CheckBox" fmlaLink="'Pricing and calculations'!$J$90" lockText="1" noThreeD="1"/>
</file>

<file path=xl/ctrlProps/ctrlProp184.xml><?xml version="1.0" encoding="utf-8"?>
<formControlPr xmlns="http://schemas.microsoft.com/office/spreadsheetml/2009/9/main" objectType="CheckBox" fmlaLink="'Pricing and calculations'!$K$90" lockText="1" noThreeD="1"/>
</file>

<file path=xl/ctrlProps/ctrlProp185.xml><?xml version="1.0" encoding="utf-8"?>
<formControlPr xmlns="http://schemas.microsoft.com/office/spreadsheetml/2009/9/main" objectType="CheckBox" fmlaLink="'Pricing and calculations'!$H$90" lockText="1" noThreeD="1"/>
</file>

<file path=xl/ctrlProps/ctrlProp186.xml><?xml version="1.0" encoding="utf-8"?>
<formControlPr xmlns="http://schemas.microsoft.com/office/spreadsheetml/2009/9/main" objectType="CheckBox" fmlaLink="'Pricing and calculations'!$I$90" lockText="1" noThreeD="1"/>
</file>

<file path=xl/ctrlProps/ctrlProp187.xml><?xml version="1.0" encoding="utf-8"?>
<formControlPr xmlns="http://schemas.microsoft.com/office/spreadsheetml/2009/9/main" objectType="CheckBox" fmlaLink="'Pricing and calculations'!$J$91" lockText="1" noThreeD="1"/>
</file>

<file path=xl/ctrlProps/ctrlProp188.xml><?xml version="1.0" encoding="utf-8"?>
<formControlPr xmlns="http://schemas.microsoft.com/office/spreadsheetml/2009/9/main" objectType="CheckBox" fmlaLink="'Pricing and calculations'!$K$91" lockText="1" noThreeD="1"/>
</file>

<file path=xl/ctrlProps/ctrlProp189.xml><?xml version="1.0" encoding="utf-8"?>
<formControlPr xmlns="http://schemas.microsoft.com/office/spreadsheetml/2009/9/main" objectType="CheckBox" fmlaLink="'Pricing and calculations'!$H$91" lockText="1" noThreeD="1"/>
</file>

<file path=xl/ctrlProps/ctrlProp19.xml><?xml version="1.0" encoding="utf-8"?>
<formControlPr xmlns="http://schemas.microsoft.com/office/spreadsheetml/2009/9/main" objectType="CheckBox" fmlaLink="$AI$23" lockText="1" noThreeD="1"/>
</file>

<file path=xl/ctrlProps/ctrlProp190.xml><?xml version="1.0" encoding="utf-8"?>
<formControlPr xmlns="http://schemas.microsoft.com/office/spreadsheetml/2009/9/main" objectType="CheckBox" fmlaLink="'Pricing and calculations'!$I$91" lockText="1" noThreeD="1"/>
</file>

<file path=xl/ctrlProps/ctrlProp191.xml><?xml version="1.0" encoding="utf-8"?>
<formControlPr xmlns="http://schemas.microsoft.com/office/spreadsheetml/2009/9/main" objectType="CheckBox" fmlaLink="'Pricing and calculations'!$J$92" lockText="1" noThreeD="1"/>
</file>

<file path=xl/ctrlProps/ctrlProp192.xml><?xml version="1.0" encoding="utf-8"?>
<formControlPr xmlns="http://schemas.microsoft.com/office/spreadsheetml/2009/9/main" objectType="CheckBox" fmlaLink="'Pricing and calculations'!$K$92" lockText="1" noThreeD="1"/>
</file>

<file path=xl/ctrlProps/ctrlProp193.xml><?xml version="1.0" encoding="utf-8"?>
<formControlPr xmlns="http://schemas.microsoft.com/office/spreadsheetml/2009/9/main" objectType="CheckBox" fmlaLink="'Pricing and calculations'!$H$92" lockText="1" noThreeD="1"/>
</file>

<file path=xl/ctrlProps/ctrlProp194.xml><?xml version="1.0" encoding="utf-8"?>
<formControlPr xmlns="http://schemas.microsoft.com/office/spreadsheetml/2009/9/main" objectType="CheckBox" fmlaLink="'Pricing and calculations'!$I$92" lockText="1" noThreeD="1"/>
</file>

<file path=xl/ctrlProps/ctrlProp195.xml><?xml version="1.0" encoding="utf-8"?>
<formControlPr xmlns="http://schemas.microsoft.com/office/spreadsheetml/2009/9/main" objectType="CheckBox" fmlaLink="'Pricing and calculations'!$J$93" lockText="1" noThreeD="1"/>
</file>

<file path=xl/ctrlProps/ctrlProp196.xml><?xml version="1.0" encoding="utf-8"?>
<formControlPr xmlns="http://schemas.microsoft.com/office/spreadsheetml/2009/9/main" objectType="CheckBox" fmlaLink="'Pricing and calculations'!$K$93" lockText="1" noThreeD="1"/>
</file>

<file path=xl/ctrlProps/ctrlProp197.xml><?xml version="1.0" encoding="utf-8"?>
<formControlPr xmlns="http://schemas.microsoft.com/office/spreadsheetml/2009/9/main" objectType="CheckBox" fmlaLink="'Pricing and calculations'!$H$93" lockText="1" noThreeD="1"/>
</file>

<file path=xl/ctrlProps/ctrlProp198.xml><?xml version="1.0" encoding="utf-8"?>
<formControlPr xmlns="http://schemas.microsoft.com/office/spreadsheetml/2009/9/main" objectType="CheckBox" fmlaLink="'Pricing and calculations'!$I$93" lockText="1" noThreeD="1"/>
</file>

<file path=xl/ctrlProps/ctrlProp199.xml><?xml version="1.0" encoding="utf-8"?>
<formControlPr xmlns="http://schemas.microsoft.com/office/spreadsheetml/2009/9/main" objectType="CheckBox" fmlaLink="'Pricing and calculations'!$J$94"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fmlaLink="$AI$24" lockText="1" noThreeD="1"/>
</file>

<file path=xl/ctrlProps/ctrlProp200.xml><?xml version="1.0" encoding="utf-8"?>
<formControlPr xmlns="http://schemas.microsoft.com/office/spreadsheetml/2009/9/main" objectType="CheckBox" fmlaLink="'Pricing and calculations'!$K$94" lockText="1" noThreeD="1"/>
</file>

<file path=xl/ctrlProps/ctrlProp201.xml><?xml version="1.0" encoding="utf-8"?>
<formControlPr xmlns="http://schemas.microsoft.com/office/spreadsheetml/2009/9/main" objectType="CheckBox" fmlaLink="'Pricing and calculations'!$H$94" lockText="1" noThreeD="1"/>
</file>

<file path=xl/ctrlProps/ctrlProp202.xml><?xml version="1.0" encoding="utf-8"?>
<formControlPr xmlns="http://schemas.microsoft.com/office/spreadsheetml/2009/9/main" objectType="CheckBox" fmlaLink="'Pricing and calculations'!$I$94" lockText="1" noThreeD="1"/>
</file>

<file path=xl/ctrlProps/ctrlProp203.xml><?xml version="1.0" encoding="utf-8"?>
<formControlPr xmlns="http://schemas.microsoft.com/office/spreadsheetml/2009/9/main" objectType="Radio" checked="Checked" firstButton="1" fmlaLink="'Pricing and calculations'!$H$2"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CheckBox" fmlaLink="$AI$7" lockText="1" noThreeD="1"/>
</file>

<file path=xl/ctrlProps/ctrlProp206.xml><?xml version="1.0" encoding="utf-8"?>
<formControlPr xmlns="http://schemas.microsoft.com/office/spreadsheetml/2009/9/main" objectType="CheckBox" fmlaLink="$AI$8" lockText="1" noThreeD="1"/>
</file>

<file path=xl/ctrlProps/ctrlProp207.xml><?xml version="1.0" encoding="utf-8"?>
<formControlPr xmlns="http://schemas.microsoft.com/office/spreadsheetml/2009/9/main" objectType="CheckBox" fmlaLink="$AI$9" lockText="1" noThreeD="1"/>
</file>

<file path=xl/ctrlProps/ctrlProp208.xml><?xml version="1.0" encoding="utf-8"?>
<formControlPr xmlns="http://schemas.microsoft.com/office/spreadsheetml/2009/9/main" objectType="CheckBox" fmlaLink="$AI$10" lockText="1" noThreeD="1"/>
</file>

<file path=xl/ctrlProps/ctrlProp209.xml><?xml version="1.0" encoding="utf-8"?>
<formControlPr xmlns="http://schemas.microsoft.com/office/spreadsheetml/2009/9/main" objectType="CheckBox" fmlaLink="$AI$11" lockText="1" noThreeD="1"/>
</file>

<file path=xl/ctrlProps/ctrlProp21.xml><?xml version="1.0" encoding="utf-8"?>
<formControlPr xmlns="http://schemas.microsoft.com/office/spreadsheetml/2009/9/main" objectType="CheckBox" fmlaLink="$AI$25" lockText="1" noThreeD="1"/>
</file>

<file path=xl/ctrlProps/ctrlProp210.xml><?xml version="1.0" encoding="utf-8"?>
<formControlPr xmlns="http://schemas.microsoft.com/office/spreadsheetml/2009/9/main" objectType="CheckBox" fmlaLink="$AI$12" lockText="1" noThreeD="1"/>
</file>

<file path=xl/ctrlProps/ctrlProp211.xml><?xml version="1.0" encoding="utf-8"?>
<formControlPr xmlns="http://schemas.microsoft.com/office/spreadsheetml/2009/9/main" objectType="CheckBox" fmlaLink="$AI$13" lockText="1" noThreeD="1"/>
</file>

<file path=xl/ctrlProps/ctrlProp212.xml><?xml version="1.0" encoding="utf-8"?>
<formControlPr xmlns="http://schemas.microsoft.com/office/spreadsheetml/2009/9/main" objectType="CheckBox" fmlaLink="$AI$14" lockText="1" noThreeD="1"/>
</file>

<file path=xl/ctrlProps/ctrlProp213.xml><?xml version="1.0" encoding="utf-8"?>
<formControlPr xmlns="http://schemas.microsoft.com/office/spreadsheetml/2009/9/main" objectType="CheckBox" fmlaLink="$AI$15" lockText="1" noThreeD="1"/>
</file>

<file path=xl/ctrlProps/ctrlProp214.xml><?xml version="1.0" encoding="utf-8"?>
<formControlPr xmlns="http://schemas.microsoft.com/office/spreadsheetml/2009/9/main" objectType="CheckBox" fmlaLink="$AI$16" lockText="1" noThreeD="1"/>
</file>

<file path=xl/ctrlProps/ctrlProp215.xml><?xml version="1.0" encoding="utf-8"?>
<formControlPr xmlns="http://schemas.microsoft.com/office/spreadsheetml/2009/9/main" objectType="CheckBox" fmlaLink="$AI$17" lockText="1" noThreeD="1"/>
</file>

<file path=xl/ctrlProps/ctrlProp216.xml><?xml version="1.0" encoding="utf-8"?>
<formControlPr xmlns="http://schemas.microsoft.com/office/spreadsheetml/2009/9/main" objectType="CheckBox" fmlaLink="$AI$18" lockText="1" noThreeD="1"/>
</file>

<file path=xl/ctrlProps/ctrlProp217.xml><?xml version="1.0" encoding="utf-8"?>
<formControlPr xmlns="http://schemas.microsoft.com/office/spreadsheetml/2009/9/main" objectType="CheckBox" fmlaLink="$AI$19" lockText="1" noThreeD="1"/>
</file>

<file path=xl/ctrlProps/ctrlProp218.xml><?xml version="1.0" encoding="utf-8"?>
<formControlPr xmlns="http://schemas.microsoft.com/office/spreadsheetml/2009/9/main" objectType="CheckBox" fmlaLink="$AI$20" lockText="1" noThreeD="1"/>
</file>

<file path=xl/ctrlProps/ctrlProp219.xml><?xml version="1.0" encoding="utf-8"?>
<formControlPr xmlns="http://schemas.microsoft.com/office/spreadsheetml/2009/9/main" objectType="CheckBox" fmlaLink="$AI$21" lockText="1" noThreeD="1"/>
</file>

<file path=xl/ctrlProps/ctrlProp22.xml><?xml version="1.0" encoding="utf-8"?>
<formControlPr xmlns="http://schemas.microsoft.com/office/spreadsheetml/2009/9/main" objectType="CheckBox" fmlaLink="$AI$26" lockText="1" noThreeD="1"/>
</file>

<file path=xl/ctrlProps/ctrlProp220.xml><?xml version="1.0" encoding="utf-8"?>
<formControlPr xmlns="http://schemas.microsoft.com/office/spreadsheetml/2009/9/main" objectType="CheckBox" fmlaLink="$AI$22" lockText="1" noThreeD="1"/>
</file>

<file path=xl/ctrlProps/ctrlProp221.xml><?xml version="1.0" encoding="utf-8"?>
<formControlPr xmlns="http://schemas.microsoft.com/office/spreadsheetml/2009/9/main" objectType="CheckBox" fmlaLink="$AI$23" lockText="1" noThreeD="1"/>
</file>

<file path=xl/ctrlProps/ctrlProp222.xml><?xml version="1.0" encoding="utf-8"?>
<formControlPr xmlns="http://schemas.microsoft.com/office/spreadsheetml/2009/9/main" objectType="CheckBox" fmlaLink="$AI$24" lockText="1" noThreeD="1"/>
</file>

<file path=xl/ctrlProps/ctrlProp223.xml><?xml version="1.0" encoding="utf-8"?>
<formControlPr xmlns="http://schemas.microsoft.com/office/spreadsheetml/2009/9/main" objectType="CheckBox" fmlaLink="$AI$25" lockText="1" noThreeD="1"/>
</file>

<file path=xl/ctrlProps/ctrlProp224.xml><?xml version="1.0" encoding="utf-8"?>
<formControlPr xmlns="http://schemas.microsoft.com/office/spreadsheetml/2009/9/main" objectType="CheckBox" fmlaLink="$AI$26" lockText="1" noThreeD="1"/>
</file>

<file path=xl/ctrlProps/ctrlProp225.xml><?xml version="1.0" encoding="utf-8"?>
<formControlPr xmlns="http://schemas.microsoft.com/office/spreadsheetml/2009/9/main" objectType="CheckBox" checked="Checked" fmlaLink="'Pricing and calculations'!$F$75" lockText="1" noThreeD="1"/>
</file>

<file path=xl/ctrlProps/ctrlProp226.xml><?xml version="1.0" encoding="utf-8"?>
<formControlPr xmlns="http://schemas.microsoft.com/office/spreadsheetml/2009/9/main" objectType="CheckBox" checked="Checked" fmlaLink="'Pricing and calculations'!G75" lockText="1" noThreeD="1"/>
</file>

<file path=xl/ctrlProps/ctrlProp227.xml><?xml version="1.0" encoding="utf-8"?>
<formControlPr xmlns="http://schemas.microsoft.com/office/spreadsheetml/2009/9/main" objectType="CheckBox" checked="Checked" fmlaLink="'Pricing and calculations'!D75" lockText="1" noThreeD="1"/>
</file>

<file path=xl/ctrlProps/ctrlProp228.xml><?xml version="1.0" encoding="utf-8"?>
<formControlPr xmlns="http://schemas.microsoft.com/office/spreadsheetml/2009/9/main" objectType="CheckBox" checked="Checked" fmlaLink="'Pricing and calculations'!E75" lockText="1" noThreeD="1"/>
</file>

<file path=xl/ctrlProps/ctrlProp229.xml><?xml version="1.0" encoding="utf-8"?>
<formControlPr xmlns="http://schemas.microsoft.com/office/spreadsheetml/2009/9/main" objectType="CheckBox" checked="Checked" fmlaLink="'Pricing and calculations'!F76" lockText="1" noThreeD="1"/>
</file>

<file path=xl/ctrlProps/ctrlProp23.xml><?xml version="1.0" encoding="utf-8"?>
<formControlPr xmlns="http://schemas.microsoft.com/office/spreadsheetml/2009/9/main" objectType="CheckBox" checked="Checked" fmlaLink="'Pricing and calculations'!$C$75" lockText="1" noThreeD="1"/>
</file>

<file path=xl/ctrlProps/ctrlProp230.xml><?xml version="1.0" encoding="utf-8"?>
<formControlPr xmlns="http://schemas.microsoft.com/office/spreadsheetml/2009/9/main" objectType="CheckBox" checked="Checked" fmlaLink="'Pricing and calculations'!G76" lockText="1" noThreeD="1"/>
</file>

<file path=xl/ctrlProps/ctrlProp231.xml><?xml version="1.0" encoding="utf-8"?>
<formControlPr xmlns="http://schemas.microsoft.com/office/spreadsheetml/2009/9/main" objectType="CheckBox" checked="Checked" fmlaLink="'Pricing and calculations'!D76" lockText="1" noThreeD="1"/>
</file>

<file path=xl/ctrlProps/ctrlProp232.xml><?xml version="1.0" encoding="utf-8"?>
<formControlPr xmlns="http://schemas.microsoft.com/office/spreadsheetml/2009/9/main" objectType="CheckBox" checked="Checked" fmlaLink="'Pricing and calculations'!E76" lockText="1" noThreeD="1"/>
</file>

<file path=xl/ctrlProps/ctrlProp233.xml><?xml version="1.0" encoding="utf-8"?>
<formControlPr xmlns="http://schemas.microsoft.com/office/spreadsheetml/2009/9/main" objectType="CheckBox" checked="Checked" fmlaLink="'Pricing and calculations'!$F$77" lockText="1" noThreeD="1"/>
</file>

<file path=xl/ctrlProps/ctrlProp234.xml><?xml version="1.0" encoding="utf-8"?>
<formControlPr xmlns="http://schemas.microsoft.com/office/spreadsheetml/2009/9/main" objectType="CheckBox" checked="Checked" fmlaLink="'Pricing and calculations'!G77" lockText="1" noThreeD="1"/>
</file>

<file path=xl/ctrlProps/ctrlProp235.xml><?xml version="1.0" encoding="utf-8"?>
<formControlPr xmlns="http://schemas.microsoft.com/office/spreadsheetml/2009/9/main" objectType="CheckBox" checked="Checked" fmlaLink="'Pricing and calculations'!D77" lockText="1" noThreeD="1"/>
</file>

<file path=xl/ctrlProps/ctrlProp236.xml><?xml version="1.0" encoding="utf-8"?>
<formControlPr xmlns="http://schemas.microsoft.com/office/spreadsheetml/2009/9/main" objectType="CheckBox" checked="Checked" fmlaLink="'Pricing and calculations'!E77" lockText="1" noThreeD="1"/>
</file>

<file path=xl/ctrlProps/ctrlProp237.xml><?xml version="1.0" encoding="utf-8"?>
<formControlPr xmlns="http://schemas.microsoft.com/office/spreadsheetml/2009/9/main" objectType="CheckBox" checked="Checked" fmlaLink="'Pricing and calculations'!$F$78" lockText="1" noThreeD="1"/>
</file>

<file path=xl/ctrlProps/ctrlProp238.xml><?xml version="1.0" encoding="utf-8"?>
<formControlPr xmlns="http://schemas.microsoft.com/office/spreadsheetml/2009/9/main" objectType="CheckBox" checked="Checked" fmlaLink="'Pricing and calculations'!G78" lockText="1" noThreeD="1"/>
</file>

<file path=xl/ctrlProps/ctrlProp239.xml><?xml version="1.0" encoding="utf-8"?>
<formControlPr xmlns="http://schemas.microsoft.com/office/spreadsheetml/2009/9/main" objectType="CheckBox" checked="Checked" fmlaLink="'Pricing and calculations'!D78" lockText="1" noThreeD="1"/>
</file>

<file path=xl/ctrlProps/ctrlProp24.xml><?xml version="1.0" encoding="utf-8"?>
<formControlPr xmlns="http://schemas.microsoft.com/office/spreadsheetml/2009/9/main" objectType="CheckBox" checked="Checked" fmlaLink="'Pricing and calculations'!$C$76" lockText="1" noThreeD="1"/>
</file>

<file path=xl/ctrlProps/ctrlProp240.xml><?xml version="1.0" encoding="utf-8"?>
<formControlPr xmlns="http://schemas.microsoft.com/office/spreadsheetml/2009/9/main" objectType="CheckBox" checked="Checked" fmlaLink="'Pricing and calculations'!E78" lockText="1" noThreeD="1"/>
</file>

<file path=xl/ctrlProps/ctrlProp241.xml><?xml version="1.0" encoding="utf-8"?>
<formControlPr xmlns="http://schemas.microsoft.com/office/spreadsheetml/2009/9/main" objectType="CheckBox" checked="Checked" fmlaLink="'Pricing and calculations'!$F$79" lockText="1" noThreeD="1"/>
</file>

<file path=xl/ctrlProps/ctrlProp242.xml><?xml version="1.0" encoding="utf-8"?>
<formControlPr xmlns="http://schemas.microsoft.com/office/spreadsheetml/2009/9/main" objectType="CheckBox" checked="Checked" fmlaLink="'Pricing and calculations'!G79" lockText="1" noThreeD="1"/>
</file>

<file path=xl/ctrlProps/ctrlProp243.xml><?xml version="1.0" encoding="utf-8"?>
<formControlPr xmlns="http://schemas.microsoft.com/office/spreadsheetml/2009/9/main" objectType="CheckBox" checked="Checked" fmlaLink="'Pricing and calculations'!D79" lockText="1" noThreeD="1"/>
</file>

<file path=xl/ctrlProps/ctrlProp244.xml><?xml version="1.0" encoding="utf-8"?>
<formControlPr xmlns="http://schemas.microsoft.com/office/spreadsheetml/2009/9/main" objectType="CheckBox" checked="Checked" fmlaLink="'Pricing and calculations'!E79" lockText="1" noThreeD="1"/>
</file>

<file path=xl/ctrlProps/ctrlProp245.xml><?xml version="1.0" encoding="utf-8"?>
<formControlPr xmlns="http://schemas.microsoft.com/office/spreadsheetml/2009/9/main" objectType="CheckBox" checked="Checked" fmlaLink="'Pricing and calculations'!$F$80" lockText="1" noThreeD="1"/>
</file>

<file path=xl/ctrlProps/ctrlProp246.xml><?xml version="1.0" encoding="utf-8"?>
<formControlPr xmlns="http://schemas.microsoft.com/office/spreadsheetml/2009/9/main" objectType="CheckBox" checked="Checked" fmlaLink="'Pricing and calculations'!G80" lockText="1" noThreeD="1"/>
</file>

<file path=xl/ctrlProps/ctrlProp247.xml><?xml version="1.0" encoding="utf-8"?>
<formControlPr xmlns="http://schemas.microsoft.com/office/spreadsheetml/2009/9/main" objectType="CheckBox" checked="Checked" fmlaLink="'Pricing and calculations'!D80" lockText="1" noThreeD="1"/>
</file>

<file path=xl/ctrlProps/ctrlProp248.xml><?xml version="1.0" encoding="utf-8"?>
<formControlPr xmlns="http://schemas.microsoft.com/office/spreadsheetml/2009/9/main" objectType="CheckBox" fmlaLink="'Pricing and calculations'!E80" lockText="1" noThreeD="1"/>
</file>

<file path=xl/ctrlProps/ctrlProp249.xml><?xml version="1.0" encoding="utf-8"?>
<formControlPr xmlns="http://schemas.microsoft.com/office/spreadsheetml/2009/9/main" objectType="CheckBox" checked="Checked" fmlaLink="'Pricing and calculations'!$F$81" lockText="1" noThreeD="1"/>
</file>

<file path=xl/ctrlProps/ctrlProp25.xml><?xml version="1.0" encoding="utf-8"?>
<formControlPr xmlns="http://schemas.microsoft.com/office/spreadsheetml/2009/9/main" objectType="CheckBox" checked="Checked" fmlaLink="'Pricing and calculations'!$C$77" lockText="1" noThreeD="1"/>
</file>

<file path=xl/ctrlProps/ctrlProp250.xml><?xml version="1.0" encoding="utf-8"?>
<formControlPr xmlns="http://schemas.microsoft.com/office/spreadsheetml/2009/9/main" objectType="CheckBox" checked="Checked" fmlaLink="'Pricing and calculations'!G81" lockText="1" noThreeD="1"/>
</file>

<file path=xl/ctrlProps/ctrlProp251.xml><?xml version="1.0" encoding="utf-8"?>
<formControlPr xmlns="http://schemas.microsoft.com/office/spreadsheetml/2009/9/main" objectType="CheckBox" checked="Checked" fmlaLink="'Pricing and calculations'!D81" lockText="1" noThreeD="1"/>
</file>

<file path=xl/ctrlProps/ctrlProp252.xml><?xml version="1.0" encoding="utf-8"?>
<formControlPr xmlns="http://schemas.microsoft.com/office/spreadsheetml/2009/9/main" objectType="CheckBox" fmlaLink="'Pricing and calculations'!E81" lockText="1" noThreeD="1"/>
</file>

<file path=xl/ctrlProps/ctrlProp253.xml><?xml version="1.0" encoding="utf-8"?>
<formControlPr xmlns="http://schemas.microsoft.com/office/spreadsheetml/2009/9/main" objectType="CheckBox" checked="Checked" fmlaLink="'Pricing and calculations'!$F$82" lockText="1" noThreeD="1"/>
</file>

<file path=xl/ctrlProps/ctrlProp254.xml><?xml version="1.0" encoding="utf-8"?>
<formControlPr xmlns="http://schemas.microsoft.com/office/spreadsheetml/2009/9/main" objectType="CheckBox" checked="Checked" fmlaLink="'Pricing and calculations'!G82" lockText="1" noThreeD="1"/>
</file>

<file path=xl/ctrlProps/ctrlProp255.xml><?xml version="1.0" encoding="utf-8"?>
<formControlPr xmlns="http://schemas.microsoft.com/office/spreadsheetml/2009/9/main" objectType="CheckBox" checked="Checked" fmlaLink="'Pricing and calculations'!D82" lockText="1" noThreeD="1"/>
</file>

<file path=xl/ctrlProps/ctrlProp256.xml><?xml version="1.0" encoding="utf-8"?>
<formControlPr xmlns="http://schemas.microsoft.com/office/spreadsheetml/2009/9/main" objectType="CheckBox" checked="Checked" fmlaLink="'Pricing and calculations'!E82" lockText="1" noThreeD="1"/>
</file>

<file path=xl/ctrlProps/ctrlProp257.xml><?xml version="1.0" encoding="utf-8"?>
<formControlPr xmlns="http://schemas.microsoft.com/office/spreadsheetml/2009/9/main" objectType="CheckBox" checked="Checked" fmlaLink="'Pricing and calculations'!$F$83" lockText="1" noThreeD="1"/>
</file>

<file path=xl/ctrlProps/ctrlProp258.xml><?xml version="1.0" encoding="utf-8"?>
<formControlPr xmlns="http://schemas.microsoft.com/office/spreadsheetml/2009/9/main" objectType="CheckBox" checked="Checked" fmlaLink="'Pricing and calculations'!G83" lockText="1" noThreeD="1"/>
</file>

<file path=xl/ctrlProps/ctrlProp259.xml><?xml version="1.0" encoding="utf-8"?>
<formControlPr xmlns="http://schemas.microsoft.com/office/spreadsheetml/2009/9/main" objectType="CheckBox" checked="Checked" fmlaLink="'Pricing and calculations'!D83" lockText="1" noThreeD="1"/>
</file>

<file path=xl/ctrlProps/ctrlProp26.xml><?xml version="1.0" encoding="utf-8"?>
<formControlPr xmlns="http://schemas.microsoft.com/office/spreadsheetml/2009/9/main" objectType="CheckBox" checked="Checked" fmlaLink="'Pricing and calculations'!$C$78" lockText="1" noThreeD="1"/>
</file>

<file path=xl/ctrlProps/ctrlProp260.xml><?xml version="1.0" encoding="utf-8"?>
<formControlPr xmlns="http://schemas.microsoft.com/office/spreadsheetml/2009/9/main" objectType="CheckBox" checked="Checked" fmlaLink="'Pricing and calculations'!E83" lockText="1" noThreeD="1"/>
</file>

<file path=xl/ctrlProps/ctrlProp261.xml><?xml version="1.0" encoding="utf-8"?>
<formControlPr xmlns="http://schemas.microsoft.com/office/spreadsheetml/2009/9/main" objectType="CheckBox" fmlaLink="'Pricing and calculations'!$F$84" lockText="1" noThreeD="1"/>
</file>

<file path=xl/ctrlProps/ctrlProp262.xml><?xml version="1.0" encoding="utf-8"?>
<formControlPr xmlns="http://schemas.microsoft.com/office/spreadsheetml/2009/9/main" objectType="CheckBox" fmlaLink="'Pricing and calculations'!G84" lockText="1" noThreeD="1"/>
</file>

<file path=xl/ctrlProps/ctrlProp263.xml><?xml version="1.0" encoding="utf-8"?>
<formControlPr xmlns="http://schemas.microsoft.com/office/spreadsheetml/2009/9/main" objectType="CheckBox" fmlaLink="'Pricing and calculations'!D84" lockText="1" noThreeD="1"/>
</file>

<file path=xl/ctrlProps/ctrlProp264.xml><?xml version="1.0" encoding="utf-8"?>
<formControlPr xmlns="http://schemas.microsoft.com/office/spreadsheetml/2009/9/main" objectType="CheckBox" fmlaLink="'Pricing and calculations'!E84" lockText="1" noThreeD="1"/>
</file>

<file path=xl/ctrlProps/ctrlProp265.xml><?xml version="1.0" encoding="utf-8"?>
<formControlPr xmlns="http://schemas.microsoft.com/office/spreadsheetml/2009/9/main" objectType="CheckBox" fmlaLink="'Pricing and calculations'!$F$85" lockText="1" noThreeD="1"/>
</file>

<file path=xl/ctrlProps/ctrlProp266.xml><?xml version="1.0" encoding="utf-8"?>
<formControlPr xmlns="http://schemas.microsoft.com/office/spreadsheetml/2009/9/main" objectType="CheckBox" fmlaLink="'Pricing and calculations'!G85" lockText="1" noThreeD="1"/>
</file>

<file path=xl/ctrlProps/ctrlProp267.xml><?xml version="1.0" encoding="utf-8"?>
<formControlPr xmlns="http://schemas.microsoft.com/office/spreadsheetml/2009/9/main" objectType="CheckBox" fmlaLink="'Pricing and calculations'!D85" lockText="1" noThreeD="1"/>
</file>

<file path=xl/ctrlProps/ctrlProp268.xml><?xml version="1.0" encoding="utf-8"?>
<formControlPr xmlns="http://schemas.microsoft.com/office/spreadsheetml/2009/9/main" objectType="CheckBox" fmlaLink="'Pricing and calculations'!E85" lockText="1" noThreeD="1"/>
</file>

<file path=xl/ctrlProps/ctrlProp269.xml><?xml version="1.0" encoding="utf-8"?>
<formControlPr xmlns="http://schemas.microsoft.com/office/spreadsheetml/2009/9/main" objectType="CheckBox" fmlaLink="'Pricing and calculations'!$F$86" lockText="1" noThreeD="1"/>
</file>

<file path=xl/ctrlProps/ctrlProp27.xml><?xml version="1.0" encoding="utf-8"?>
<formControlPr xmlns="http://schemas.microsoft.com/office/spreadsheetml/2009/9/main" objectType="CheckBox" checked="Checked" fmlaLink="'Pricing and calculations'!$C$79" lockText="1" noThreeD="1"/>
</file>

<file path=xl/ctrlProps/ctrlProp270.xml><?xml version="1.0" encoding="utf-8"?>
<formControlPr xmlns="http://schemas.microsoft.com/office/spreadsheetml/2009/9/main" objectType="CheckBox" fmlaLink="'Pricing and calculations'!G86" lockText="1" noThreeD="1"/>
</file>

<file path=xl/ctrlProps/ctrlProp271.xml><?xml version="1.0" encoding="utf-8"?>
<formControlPr xmlns="http://schemas.microsoft.com/office/spreadsheetml/2009/9/main" objectType="CheckBox" fmlaLink="'Pricing and calculations'!D86" lockText="1" noThreeD="1"/>
</file>

<file path=xl/ctrlProps/ctrlProp272.xml><?xml version="1.0" encoding="utf-8"?>
<formControlPr xmlns="http://schemas.microsoft.com/office/spreadsheetml/2009/9/main" objectType="CheckBox" fmlaLink="'Pricing and calculations'!E86" lockText="1" noThreeD="1"/>
</file>

<file path=xl/ctrlProps/ctrlProp273.xml><?xml version="1.0" encoding="utf-8"?>
<formControlPr xmlns="http://schemas.microsoft.com/office/spreadsheetml/2009/9/main" objectType="CheckBox" fmlaLink="'Pricing and calculations'!$F$87" lockText="1" noThreeD="1"/>
</file>

<file path=xl/ctrlProps/ctrlProp274.xml><?xml version="1.0" encoding="utf-8"?>
<formControlPr xmlns="http://schemas.microsoft.com/office/spreadsheetml/2009/9/main" objectType="CheckBox" fmlaLink="'Pricing and calculations'!G87" lockText="1" noThreeD="1"/>
</file>

<file path=xl/ctrlProps/ctrlProp275.xml><?xml version="1.0" encoding="utf-8"?>
<formControlPr xmlns="http://schemas.microsoft.com/office/spreadsheetml/2009/9/main" objectType="CheckBox" fmlaLink="'Pricing and calculations'!D87" lockText="1" noThreeD="1"/>
</file>

<file path=xl/ctrlProps/ctrlProp276.xml><?xml version="1.0" encoding="utf-8"?>
<formControlPr xmlns="http://schemas.microsoft.com/office/spreadsheetml/2009/9/main" objectType="CheckBox" fmlaLink="'Pricing and calculations'!E87" lockText="1" noThreeD="1"/>
</file>

<file path=xl/ctrlProps/ctrlProp277.xml><?xml version="1.0" encoding="utf-8"?>
<formControlPr xmlns="http://schemas.microsoft.com/office/spreadsheetml/2009/9/main" objectType="CheckBox" fmlaLink="'Pricing and calculations'!$F$88" lockText="1" noThreeD="1"/>
</file>

<file path=xl/ctrlProps/ctrlProp278.xml><?xml version="1.0" encoding="utf-8"?>
<formControlPr xmlns="http://schemas.microsoft.com/office/spreadsheetml/2009/9/main" objectType="CheckBox" fmlaLink="'Pricing and calculations'!G88" lockText="1" noThreeD="1"/>
</file>

<file path=xl/ctrlProps/ctrlProp279.xml><?xml version="1.0" encoding="utf-8"?>
<formControlPr xmlns="http://schemas.microsoft.com/office/spreadsheetml/2009/9/main" objectType="CheckBox" fmlaLink="'Pricing and calculations'!D88" lockText="1" noThreeD="1"/>
</file>

<file path=xl/ctrlProps/ctrlProp28.xml><?xml version="1.0" encoding="utf-8"?>
<formControlPr xmlns="http://schemas.microsoft.com/office/spreadsheetml/2009/9/main" objectType="CheckBox" fmlaLink="'Pricing and calculations'!$C$80" lockText="1" noThreeD="1"/>
</file>

<file path=xl/ctrlProps/ctrlProp280.xml><?xml version="1.0" encoding="utf-8"?>
<formControlPr xmlns="http://schemas.microsoft.com/office/spreadsheetml/2009/9/main" objectType="CheckBox" fmlaLink="'Pricing and calculations'!E88" lockText="1" noThreeD="1"/>
</file>

<file path=xl/ctrlProps/ctrlProp281.xml><?xml version="1.0" encoding="utf-8"?>
<formControlPr xmlns="http://schemas.microsoft.com/office/spreadsheetml/2009/9/main" objectType="CheckBox" fmlaLink="'Pricing and calculations'!$F$89" lockText="1" noThreeD="1"/>
</file>

<file path=xl/ctrlProps/ctrlProp282.xml><?xml version="1.0" encoding="utf-8"?>
<formControlPr xmlns="http://schemas.microsoft.com/office/spreadsheetml/2009/9/main" objectType="CheckBox" fmlaLink="'Pricing and calculations'!G89" lockText="1" noThreeD="1"/>
</file>

<file path=xl/ctrlProps/ctrlProp283.xml><?xml version="1.0" encoding="utf-8"?>
<formControlPr xmlns="http://schemas.microsoft.com/office/spreadsheetml/2009/9/main" objectType="CheckBox" fmlaLink="'Pricing and calculations'!D89" lockText="1" noThreeD="1"/>
</file>

<file path=xl/ctrlProps/ctrlProp284.xml><?xml version="1.0" encoding="utf-8"?>
<formControlPr xmlns="http://schemas.microsoft.com/office/spreadsheetml/2009/9/main" objectType="CheckBox" fmlaLink="'Pricing and calculations'!E89" lockText="1" noThreeD="1"/>
</file>

<file path=xl/ctrlProps/ctrlProp285.xml><?xml version="1.0" encoding="utf-8"?>
<formControlPr xmlns="http://schemas.microsoft.com/office/spreadsheetml/2009/9/main" objectType="CheckBox" fmlaLink="'Pricing and calculations'!$F$90" lockText="1" noThreeD="1"/>
</file>

<file path=xl/ctrlProps/ctrlProp286.xml><?xml version="1.0" encoding="utf-8"?>
<formControlPr xmlns="http://schemas.microsoft.com/office/spreadsheetml/2009/9/main" objectType="CheckBox" fmlaLink="'Pricing and calculations'!G90" lockText="1" noThreeD="1"/>
</file>

<file path=xl/ctrlProps/ctrlProp287.xml><?xml version="1.0" encoding="utf-8"?>
<formControlPr xmlns="http://schemas.microsoft.com/office/spreadsheetml/2009/9/main" objectType="CheckBox" fmlaLink="'Pricing and calculations'!D90" lockText="1" noThreeD="1"/>
</file>

<file path=xl/ctrlProps/ctrlProp288.xml><?xml version="1.0" encoding="utf-8"?>
<formControlPr xmlns="http://schemas.microsoft.com/office/spreadsheetml/2009/9/main" objectType="CheckBox" fmlaLink="'Pricing and calculations'!E90" lockText="1" noThreeD="1"/>
</file>

<file path=xl/ctrlProps/ctrlProp289.xml><?xml version="1.0" encoding="utf-8"?>
<formControlPr xmlns="http://schemas.microsoft.com/office/spreadsheetml/2009/9/main" objectType="CheckBox" fmlaLink="'Pricing and calculations'!$F$91" lockText="1" noThreeD="1"/>
</file>

<file path=xl/ctrlProps/ctrlProp29.xml><?xml version="1.0" encoding="utf-8"?>
<formControlPr xmlns="http://schemas.microsoft.com/office/spreadsheetml/2009/9/main" objectType="CheckBox" fmlaLink="'Pricing and calculations'!$C$81" lockText="1" noThreeD="1"/>
</file>

<file path=xl/ctrlProps/ctrlProp290.xml><?xml version="1.0" encoding="utf-8"?>
<formControlPr xmlns="http://schemas.microsoft.com/office/spreadsheetml/2009/9/main" objectType="CheckBox" fmlaLink="'Pricing and calculations'!G91" lockText="1" noThreeD="1"/>
</file>

<file path=xl/ctrlProps/ctrlProp291.xml><?xml version="1.0" encoding="utf-8"?>
<formControlPr xmlns="http://schemas.microsoft.com/office/spreadsheetml/2009/9/main" objectType="CheckBox" fmlaLink="'Pricing and calculations'!D91" lockText="1" noThreeD="1"/>
</file>

<file path=xl/ctrlProps/ctrlProp292.xml><?xml version="1.0" encoding="utf-8"?>
<formControlPr xmlns="http://schemas.microsoft.com/office/spreadsheetml/2009/9/main" objectType="CheckBox" fmlaLink="'Pricing and calculations'!E91" lockText="1" noThreeD="1"/>
</file>

<file path=xl/ctrlProps/ctrlProp293.xml><?xml version="1.0" encoding="utf-8"?>
<formControlPr xmlns="http://schemas.microsoft.com/office/spreadsheetml/2009/9/main" objectType="CheckBox" fmlaLink="'Pricing and calculations'!$F$92" lockText="1" noThreeD="1"/>
</file>

<file path=xl/ctrlProps/ctrlProp294.xml><?xml version="1.0" encoding="utf-8"?>
<formControlPr xmlns="http://schemas.microsoft.com/office/spreadsheetml/2009/9/main" objectType="CheckBox" fmlaLink="'Pricing and calculations'!G92" lockText="1" noThreeD="1"/>
</file>

<file path=xl/ctrlProps/ctrlProp295.xml><?xml version="1.0" encoding="utf-8"?>
<formControlPr xmlns="http://schemas.microsoft.com/office/spreadsheetml/2009/9/main" objectType="CheckBox" fmlaLink="'Pricing and calculations'!D92" lockText="1" noThreeD="1"/>
</file>

<file path=xl/ctrlProps/ctrlProp296.xml><?xml version="1.0" encoding="utf-8"?>
<formControlPr xmlns="http://schemas.microsoft.com/office/spreadsheetml/2009/9/main" objectType="CheckBox" fmlaLink="'Pricing and calculations'!E92" lockText="1" noThreeD="1"/>
</file>

<file path=xl/ctrlProps/ctrlProp297.xml><?xml version="1.0" encoding="utf-8"?>
<formControlPr xmlns="http://schemas.microsoft.com/office/spreadsheetml/2009/9/main" objectType="CheckBox" fmlaLink="'Pricing and calculations'!$F$93" lockText="1" noThreeD="1"/>
</file>

<file path=xl/ctrlProps/ctrlProp298.xml><?xml version="1.0" encoding="utf-8"?>
<formControlPr xmlns="http://schemas.microsoft.com/office/spreadsheetml/2009/9/main" objectType="CheckBox" fmlaLink="'Pricing and calculations'!G93" lockText="1" noThreeD="1"/>
</file>

<file path=xl/ctrlProps/ctrlProp299.xml><?xml version="1.0" encoding="utf-8"?>
<formControlPr xmlns="http://schemas.microsoft.com/office/spreadsheetml/2009/9/main" objectType="CheckBox" fmlaLink="'Pricing and calculations'!D93" lockText="1" noThreeD="1"/>
</file>

<file path=xl/ctrlProps/ctrlProp3.xml><?xml version="1.0" encoding="utf-8"?>
<formControlPr xmlns="http://schemas.microsoft.com/office/spreadsheetml/2009/9/main" objectType="CheckBox" fmlaLink="$AI$7" lockText="1" noThreeD="1"/>
</file>

<file path=xl/ctrlProps/ctrlProp30.xml><?xml version="1.0" encoding="utf-8"?>
<formControlPr xmlns="http://schemas.microsoft.com/office/spreadsheetml/2009/9/main" objectType="CheckBox" checked="Checked" fmlaLink="'Pricing and calculations'!$C$82" lockText="1" noThreeD="1"/>
</file>

<file path=xl/ctrlProps/ctrlProp300.xml><?xml version="1.0" encoding="utf-8"?>
<formControlPr xmlns="http://schemas.microsoft.com/office/spreadsheetml/2009/9/main" objectType="CheckBox" fmlaLink="'Pricing and calculations'!E93" lockText="1" noThreeD="1"/>
</file>

<file path=xl/ctrlProps/ctrlProp301.xml><?xml version="1.0" encoding="utf-8"?>
<formControlPr xmlns="http://schemas.microsoft.com/office/spreadsheetml/2009/9/main" objectType="CheckBox" fmlaLink="'Pricing and calculations'!$F$94" lockText="1" noThreeD="1"/>
</file>

<file path=xl/ctrlProps/ctrlProp302.xml><?xml version="1.0" encoding="utf-8"?>
<formControlPr xmlns="http://schemas.microsoft.com/office/spreadsheetml/2009/9/main" objectType="CheckBox" fmlaLink="'Pricing and calculations'!G94" lockText="1" noThreeD="1"/>
</file>

<file path=xl/ctrlProps/ctrlProp303.xml><?xml version="1.0" encoding="utf-8"?>
<formControlPr xmlns="http://schemas.microsoft.com/office/spreadsheetml/2009/9/main" objectType="CheckBox" fmlaLink="'Pricing and calculations'!D94" lockText="1" noThreeD="1"/>
</file>

<file path=xl/ctrlProps/ctrlProp304.xml><?xml version="1.0" encoding="utf-8"?>
<formControlPr xmlns="http://schemas.microsoft.com/office/spreadsheetml/2009/9/main" objectType="CheckBox" fmlaLink="'Pricing and calculations'!E94" lockText="1" noThreeD="1"/>
</file>

<file path=xl/ctrlProps/ctrlProp305.xml><?xml version="1.0" encoding="utf-8"?>
<formControlPr xmlns="http://schemas.microsoft.com/office/spreadsheetml/2009/9/main" objectType="CheckBox" fmlaLink="'Pricing and calculations'!$J$75" lockText="1" noThreeD="1"/>
</file>

<file path=xl/ctrlProps/ctrlProp306.xml><?xml version="1.0" encoding="utf-8"?>
<formControlPr xmlns="http://schemas.microsoft.com/office/spreadsheetml/2009/9/main" objectType="CheckBox" fmlaLink="'Pricing and calculations'!$K$75" lockText="1" noThreeD="1"/>
</file>

<file path=xl/ctrlProps/ctrlProp307.xml><?xml version="1.0" encoding="utf-8"?>
<formControlPr xmlns="http://schemas.microsoft.com/office/spreadsheetml/2009/9/main" objectType="CheckBox" fmlaLink="'Pricing and calculations'!$H$75" lockText="1" noThreeD="1"/>
</file>

<file path=xl/ctrlProps/ctrlProp308.xml><?xml version="1.0" encoding="utf-8"?>
<formControlPr xmlns="http://schemas.microsoft.com/office/spreadsheetml/2009/9/main" objectType="CheckBox" fmlaLink="'Pricing and calculations'!$I$75" lockText="1" noThreeD="1"/>
</file>

<file path=xl/ctrlProps/ctrlProp309.xml><?xml version="1.0" encoding="utf-8"?>
<formControlPr xmlns="http://schemas.microsoft.com/office/spreadsheetml/2009/9/main" objectType="CheckBox" fmlaLink="'Pricing and calculations'!$J$76" lockText="1" noThreeD="1"/>
</file>

<file path=xl/ctrlProps/ctrlProp31.xml><?xml version="1.0" encoding="utf-8"?>
<formControlPr xmlns="http://schemas.microsoft.com/office/spreadsheetml/2009/9/main" objectType="CheckBox" checked="Checked" fmlaLink="'Pricing and calculations'!$C$83" lockText="1" noThreeD="1"/>
</file>

<file path=xl/ctrlProps/ctrlProp310.xml><?xml version="1.0" encoding="utf-8"?>
<formControlPr xmlns="http://schemas.microsoft.com/office/spreadsheetml/2009/9/main" objectType="CheckBox" fmlaLink="'Pricing and calculations'!$K$76" lockText="1" noThreeD="1"/>
</file>

<file path=xl/ctrlProps/ctrlProp311.xml><?xml version="1.0" encoding="utf-8"?>
<formControlPr xmlns="http://schemas.microsoft.com/office/spreadsheetml/2009/9/main" objectType="CheckBox" fmlaLink="'Pricing and calculations'!$H$76" lockText="1" noThreeD="1"/>
</file>

<file path=xl/ctrlProps/ctrlProp312.xml><?xml version="1.0" encoding="utf-8"?>
<formControlPr xmlns="http://schemas.microsoft.com/office/spreadsheetml/2009/9/main" objectType="CheckBox" fmlaLink="'Pricing and calculations'!$I$76" lockText="1" noThreeD="1"/>
</file>

<file path=xl/ctrlProps/ctrlProp313.xml><?xml version="1.0" encoding="utf-8"?>
<formControlPr xmlns="http://schemas.microsoft.com/office/spreadsheetml/2009/9/main" objectType="CheckBox" fmlaLink="'Pricing and calculations'!$J$77" lockText="1" noThreeD="1"/>
</file>

<file path=xl/ctrlProps/ctrlProp314.xml><?xml version="1.0" encoding="utf-8"?>
<formControlPr xmlns="http://schemas.microsoft.com/office/spreadsheetml/2009/9/main" objectType="CheckBox" fmlaLink="'Pricing and calculations'!$K$77" lockText="1" noThreeD="1"/>
</file>

<file path=xl/ctrlProps/ctrlProp315.xml><?xml version="1.0" encoding="utf-8"?>
<formControlPr xmlns="http://schemas.microsoft.com/office/spreadsheetml/2009/9/main" objectType="CheckBox" fmlaLink="'Pricing and calculations'!$H$77" lockText="1" noThreeD="1"/>
</file>

<file path=xl/ctrlProps/ctrlProp316.xml><?xml version="1.0" encoding="utf-8"?>
<formControlPr xmlns="http://schemas.microsoft.com/office/spreadsheetml/2009/9/main" objectType="CheckBox" fmlaLink="'Pricing and calculations'!$I$77" lockText="1" noThreeD="1"/>
</file>

<file path=xl/ctrlProps/ctrlProp317.xml><?xml version="1.0" encoding="utf-8"?>
<formControlPr xmlns="http://schemas.microsoft.com/office/spreadsheetml/2009/9/main" objectType="CheckBox" fmlaLink="'Pricing and calculations'!$J$78" lockText="1" noThreeD="1"/>
</file>

<file path=xl/ctrlProps/ctrlProp318.xml><?xml version="1.0" encoding="utf-8"?>
<formControlPr xmlns="http://schemas.microsoft.com/office/spreadsheetml/2009/9/main" objectType="CheckBox" fmlaLink="'Pricing and calculations'!$K$78" lockText="1" noThreeD="1"/>
</file>

<file path=xl/ctrlProps/ctrlProp319.xml><?xml version="1.0" encoding="utf-8"?>
<formControlPr xmlns="http://schemas.microsoft.com/office/spreadsheetml/2009/9/main" objectType="CheckBox" fmlaLink="'Pricing and calculations'!$H$78" lockText="1" noThreeD="1"/>
</file>

<file path=xl/ctrlProps/ctrlProp32.xml><?xml version="1.0" encoding="utf-8"?>
<formControlPr xmlns="http://schemas.microsoft.com/office/spreadsheetml/2009/9/main" objectType="CheckBox" fmlaLink="'Pricing and calculations'!$C$84" lockText="1" noThreeD="1"/>
</file>

<file path=xl/ctrlProps/ctrlProp320.xml><?xml version="1.0" encoding="utf-8"?>
<formControlPr xmlns="http://schemas.microsoft.com/office/spreadsheetml/2009/9/main" objectType="CheckBox" fmlaLink="'Pricing and calculations'!$I$78" lockText="1" noThreeD="1"/>
</file>

<file path=xl/ctrlProps/ctrlProp321.xml><?xml version="1.0" encoding="utf-8"?>
<formControlPr xmlns="http://schemas.microsoft.com/office/spreadsheetml/2009/9/main" objectType="CheckBox" fmlaLink="'Pricing and calculations'!$J$79" lockText="1" noThreeD="1"/>
</file>

<file path=xl/ctrlProps/ctrlProp322.xml><?xml version="1.0" encoding="utf-8"?>
<formControlPr xmlns="http://schemas.microsoft.com/office/spreadsheetml/2009/9/main" objectType="CheckBox" fmlaLink="'Pricing and calculations'!$K$79" lockText="1" noThreeD="1"/>
</file>

<file path=xl/ctrlProps/ctrlProp323.xml><?xml version="1.0" encoding="utf-8"?>
<formControlPr xmlns="http://schemas.microsoft.com/office/spreadsheetml/2009/9/main" objectType="CheckBox" fmlaLink="'Pricing and calculations'!$H$79" lockText="1" noThreeD="1"/>
</file>

<file path=xl/ctrlProps/ctrlProp324.xml><?xml version="1.0" encoding="utf-8"?>
<formControlPr xmlns="http://schemas.microsoft.com/office/spreadsheetml/2009/9/main" objectType="CheckBox" fmlaLink="'Pricing and calculations'!$I$79" lockText="1" noThreeD="1"/>
</file>

<file path=xl/ctrlProps/ctrlProp325.xml><?xml version="1.0" encoding="utf-8"?>
<formControlPr xmlns="http://schemas.microsoft.com/office/spreadsheetml/2009/9/main" objectType="CheckBox" fmlaLink="'Pricing and calculations'!$J$80" lockText="1" noThreeD="1"/>
</file>

<file path=xl/ctrlProps/ctrlProp326.xml><?xml version="1.0" encoding="utf-8"?>
<formControlPr xmlns="http://schemas.microsoft.com/office/spreadsheetml/2009/9/main" objectType="CheckBox" fmlaLink="'Pricing and calculations'!$K$80" lockText="1" noThreeD="1"/>
</file>

<file path=xl/ctrlProps/ctrlProp327.xml><?xml version="1.0" encoding="utf-8"?>
<formControlPr xmlns="http://schemas.microsoft.com/office/spreadsheetml/2009/9/main" objectType="CheckBox" fmlaLink="'Pricing and calculations'!$H$80" lockText="1" noThreeD="1"/>
</file>

<file path=xl/ctrlProps/ctrlProp328.xml><?xml version="1.0" encoding="utf-8"?>
<formControlPr xmlns="http://schemas.microsoft.com/office/spreadsheetml/2009/9/main" objectType="CheckBox" fmlaLink="'Pricing and calculations'!$I$80" lockText="1" noThreeD="1"/>
</file>

<file path=xl/ctrlProps/ctrlProp329.xml><?xml version="1.0" encoding="utf-8"?>
<formControlPr xmlns="http://schemas.microsoft.com/office/spreadsheetml/2009/9/main" objectType="CheckBox" fmlaLink="'Pricing and calculations'!$J$81" lockText="1" noThreeD="1"/>
</file>

<file path=xl/ctrlProps/ctrlProp33.xml><?xml version="1.0" encoding="utf-8"?>
<formControlPr xmlns="http://schemas.microsoft.com/office/spreadsheetml/2009/9/main" objectType="CheckBox" fmlaLink="'Pricing and calculations'!$C$85" lockText="1" noThreeD="1"/>
</file>

<file path=xl/ctrlProps/ctrlProp330.xml><?xml version="1.0" encoding="utf-8"?>
<formControlPr xmlns="http://schemas.microsoft.com/office/spreadsheetml/2009/9/main" objectType="CheckBox" fmlaLink="'Pricing and calculations'!$K$81" lockText="1" noThreeD="1"/>
</file>

<file path=xl/ctrlProps/ctrlProp331.xml><?xml version="1.0" encoding="utf-8"?>
<formControlPr xmlns="http://schemas.microsoft.com/office/spreadsheetml/2009/9/main" objectType="CheckBox" fmlaLink="'Pricing and calculations'!$H$81" lockText="1" noThreeD="1"/>
</file>

<file path=xl/ctrlProps/ctrlProp332.xml><?xml version="1.0" encoding="utf-8"?>
<formControlPr xmlns="http://schemas.microsoft.com/office/spreadsheetml/2009/9/main" objectType="CheckBox" fmlaLink="'Pricing and calculations'!$I$81" lockText="1" noThreeD="1"/>
</file>

<file path=xl/ctrlProps/ctrlProp333.xml><?xml version="1.0" encoding="utf-8"?>
<formControlPr xmlns="http://schemas.microsoft.com/office/spreadsheetml/2009/9/main" objectType="CheckBox" fmlaLink="'Pricing and calculations'!$J$82" lockText="1" noThreeD="1"/>
</file>

<file path=xl/ctrlProps/ctrlProp334.xml><?xml version="1.0" encoding="utf-8"?>
<formControlPr xmlns="http://schemas.microsoft.com/office/spreadsheetml/2009/9/main" objectType="CheckBox" fmlaLink="'Pricing and calculations'!$K$82" lockText="1" noThreeD="1"/>
</file>

<file path=xl/ctrlProps/ctrlProp335.xml><?xml version="1.0" encoding="utf-8"?>
<formControlPr xmlns="http://schemas.microsoft.com/office/spreadsheetml/2009/9/main" objectType="CheckBox" fmlaLink="'Pricing and calculations'!$H$82" lockText="1" noThreeD="1"/>
</file>

<file path=xl/ctrlProps/ctrlProp336.xml><?xml version="1.0" encoding="utf-8"?>
<formControlPr xmlns="http://schemas.microsoft.com/office/spreadsheetml/2009/9/main" objectType="CheckBox" fmlaLink="'Pricing and calculations'!$I$82" lockText="1" noThreeD="1"/>
</file>

<file path=xl/ctrlProps/ctrlProp337.xml><?xml version="1.0" encoding="utf-8"?>
<formControlPr xmlns="http://schemas.microsoft.com/office/spreadsheetml/2009/9/main" objectType="CheckBox" fmlaLink="'Pricing and calculations'!$J$83" lockText="1" noThreeD="1"/>
</file>

<file path=xl/ctrlProps/ctrlProp338.xml><?xml version="1.0" encoding="utf-8"?>
<formControlPr xmlns="http://schemas.microsoft.com/office/spreadsheetml/2009/9/main" objectType="CheckBox" fmlaLink="'Pricing and calculations'!$K$83" lockText="1" noThreeD="1"/>
</file>

<file path=xl/ctrlProps/ctrlProp339.xml><?xml version="1.0" encoding="utf-8"?>
<formControlPr xmlns="http://schemas.microsoft.com/office/spreadsheetml/2009/9/main" objectType="CheckBox" fmlaLink="'Pricing and calculations'!$H$83" lockText="1" noThreeD="1"/>
</file>

<file path=xl/ctrlProps/ctrlProp34.xml><?xml version="1.0" encoding="utf-8"?>
<formControlPr xmlns="http://schemas.microsoft.com/office/spreadsheetml/2009/9/main" objectType="CheckBox" fmlaLink="'Pricing and calculations'!$C$86" lockText="1" noThreeD="1"/>
</file>

<file path=xl/ctrlProps/ctrlProp340.xml><?xml version="1.0" encoding="utf-8"?>
<formControlPr xmlns="http://schemas.microsoft.com/office/spreadsheetml/2009/9/main" objectType="CheckBox" fmlaLink="'Pricing and calculations'!$I$83" lockText="1" noThreeD="1"/>
</file>

<file path=xl/ctrlProps/ctrlProp341.xml><?xml version="1.0" encoding="utf-8"?>
<formControlPr xmlns="http://schemas.microsoft.com/office/spreadsheetml/2009/9/main" objectType="CheckBox" fmlaLink="'Pricing and calculations'!$J$84" lockText="1" noThreeD="1"/>
</file>

<file path=xl/ctrlProps/ctrlProp342.xml><?xml version="1.0" encoding="utf-8"?>
<formControlPr xmlns="http://schemas.microsoft.com/office/spreadsheetml/2009/9/main" objectType="CheckBox" fmlaLink="'Pricing and calculations'!$K$84" lockText="1" noThreeD="1"/>
</file>

<file path=xl/ctrlProps/ctrlProp343.xml><?xml version="1.0" encoding="utf-8"?>
<formControlPr xmlns="http://schemas.microsoft.com/office/spreadsheetml/2009/9/main" objectType="CheckBox" fmlaLink="'Pricing and calculations'!$H$84" lockText="1" noThreeD="1"/>
</file>

<file path=xl/ctrlProps/ctrlProp344.xml><?xml version="1.0" encoding="utf-8"?>
<formControlPr xmlns="http://schemas.microsoft.com/office/spreadsheetml/2009/9/main" objectType="CheckBox" fmlaLink="'Pricing and calculations'!$I$84" lockText="1" noThreeD="1"/>
</file>

<file path=xl/ctrlProps/ctrlProp345.xml><?xml version="1.0" encoding="utf-8"?>
<formControlPr xmlns="http://schemas.microsoft.com/office/spreadsheetml/2009/9/main" objectType="CheckBox" fmlaLink="'Pricing and calculations'!$J$85" lockText="1" noThreeD="1"/>
</file>

<file path=xl/ctrlProps/ctrlProp346.xml><?xml version="1.0" encoding="utf-8"?>
<formControlPr xmlns="http://schemas.microsoft.com/office/spreadsheetml/2009/9/main" objectType="CheckBox" fmlaLink="'Pricing and calculations'!$K$85" lockText="1" noThreeD="1"/>
</file>

<file path=xl/ctrlProps/ctrlProp347.xml><?xml version="1.0" encoding="utf-8"?>
<formControlPr xmlns="http://schemas.microsoft.com/office/spreadsheetml/2009/9/main" objectType="CheckBox" fmlaLink="'Pricing and calculations'!$H$85" lockText="1" noThreeD="1"/>
</file>

<file path=xl/ctrlProps/ctrlProp348.xml><?xml version="1.0" encoding="utf-8"?>
<formControlPr xmlns="http://schemas.microsoft.com/office/spreadsheetml/2009/9/main" objectType="CheckBox" fmlaLink="'Pricing and calculations'!$I$85" lockText="1" noThreeD="1"/>
</file>

<file path=xl/ctrlProps/ctrlProp349.xml><?xml version="1.0" encoding="utf-8"?>
<formControlPr xmlns="http://schemas.microsoft.com/office/spreadsheetml/2009/9/main" objectType="CheckBox" fmlaLink="'Pricing and calculations'!$J$86" lockText="1" noThreeD="1"/>
</file>

<file path=xl/ctrlProps/ctrlProp35.xml><?xml version="1.0" encoding="utf-8"?>
<formControlPr xmlns="http://schemas.microsoft.com/office/spreadsheetml/2009/9/main" objectType="CheckBox" fmlaLink="'Pricing and calculations'!$C$87" lockText="1" noThreeD="1"/>
</file>

<file path=xl/ctrlProps/ctrlProp350.xml><?xml version="1.0" encoding="utf-8"?>
<formControlPr xmlns="http://schemas.microsoft.com/office/spreadsheetml/2009/9/main" objectType="CheckBox" fmlaLink="'Pricing and calculations'!$K$86" lockText="1" noThreeD="1"/>
</file>

<file path=xl/ctrlProps/ctrlProp351.xml><?xml version="1.0" encoding="utf-8"?>
<formControlPr xmlns="http://schemas.microsoft.com/office/spreadsheetml/2009/9/main" objectType="CheckBox" fmlaLink="'Pricing and calculations'!$H$86" lockText="1" noThreeD="1"/>
</file>

<file path=xl/ctrlProps/ctrlProp352.xml><?xml version="1.0" encoding="utf-8"?>
<formControlPr xmlns="http://schemas.microsoft.com/office/spreadsheetml/2009/9/main" objectType="CheckBox" fmlaLink="'Pricing and calculations'!$I$86" lockText="1" noThreeD="1"/>
</file>

<file path=xl/ctrlProps/ctrlProp353.xml><?xml version="1.0" encoding="utf-8"?>
<formControlPr xmlns="http://schemas.microsoft.com/office/spreadsheetml/2009/9/main" objectType="CheckBox" fmlaLink="'Pricing and calculations'!$J$87" lockText="1" noThreeD="1"/>
</file>

<file path=xl/ctrlProps/ctrlProp354.xml><?xml version="1.0" encoding="utf-8"?>
<formControlPr xmlns="http://schemas.microsoft.com/office/spreadsheetml/2009/9/main" objectType="CheckBox" fmlaLink="'Pricing and calculations'!$K$87" lockText="1" noThreeD="1"/>
</file>

<file path=xl/ctrlProps/ctrlProp355.xml><?xml version="1.0" encoding="utf-8"?>
<formControlPr xmlns="http://schemas.microsoft.com/office/spreadsheetml/2009/9/main" objectType="CheckBox" fmlaLink="'Pricing and calculations'!$H$87" lockText="1" noThreeD="1"/>
</file>

<file path=xl/ctrlProps/ctrlProp356.xml><?xml version="1.0" encoding="utf-8"?>
<formControlPr xmlns="http://schemas.microsoft.com/office/spreadsheetml/2009/9/main" objectType="CheckBox" fmlaLink="'Pricing and calculations'!$I$87" lockText="1" noThreeD="1"/>
</file>

<file path=xl/ctrlProps/ctrlProp357.xml><?xml version="1.0" encoding="utf-8"?>
<formControlPr xmlns="http://schemas.microsoft.com/office/spreadsheetml/2009/9/main" objectType="CheckBox" fmlaLink="'Pricing and calculations'!$J$88" lockText="1" noThreeD="1"/>
</file>

<file path=xl/ctrlProps/ctrlProp358.xml><?xml version="1.0" encoding="utf-8"?>
<formControlPr xmlns="http://schemas.microsoft.com/office/spreadsheetml/2009/9/main" objectType="CheckBox" fmlaLink="'Pricing and calculations'!$K$88" lockText="1" noThreeD="1"/>
</file>

<file path=xl/ctrlProps/ctrlProp359.xml><?xml version="1.0" encoding="utf-8"?>
<formControlPr xmlns="http://schemas.microsoft.com/office/spreadsheetml/2009/9/main" objectType="CheckBox" fmlaLink="'Pricing and calculations'!$H$88" lockText="1" noThreeD="1"/>
</file>

<file path=xl/ctrlProps/ctrlProp36.xml><?xml version="1.0" encoding="utf-8"?>
<formControlPr xmlns="http://schemas.microsoft.com/office/spreadsheetml/2009/9/main" objectType="CheckBox" fmlaLink="'Pricing and calculations'!$C$88" lockText="1" noThreeD="1"/>
</file>

<file path=xl/ctrlProps/ctrlProp360.xml><?xml version="1.0" encoding="utf-8"?>
<formControlPr xmlns="http://schemas.microsoft.com/office/spreadsheetml/2009/9/main" objectType="CheckBox" fmlaLink="'Pricing and calculations'!$I$88" lockText="1" noThreeD="1"/>
</file>

<file path=xl/ctrlProps/ctrlProp361.xml><?xml version="1.0" encoding="utf-8"?>
<formControlPr xmlns="http://schemas.microsoft.com/office/spreadsheetml/2009/9/main" objectType="CheckBox" fmlaLink="'Pricing and calculations'!$J$89" lockText="1" noThreeD="1"/>
</file>

<file path=xl/ctrlProps/ctrlProp362.xml><?xml version="1.0" encoding="utf-8"?>
<formControlPr xmlns="http://schemas.microsoft.com/office/spreadsheetml/2009/9/main" objectType="CheckBox" fmlaLink="'Pricing and calculations'!$K$89" lockText="1" noThreeD="1"/>
</file>

<file path=xl/ctrlProps/ctrlProp363.xml><?xml version="1.0" encoding="utf-8"?>
<formControlPr xmlns="http://schemas.microsoft.com/office/spreadsheetml/2009/9/main" objectType="CheckBox" fmlaLink="'Pricing and calculations'!$H$89" lockText="1" noThreeD="1"/>
</file>

<file path=xl/ctrlProps/ctrlProp364.xml><?xml version="1.0" encoding="utf-8"?>
<formControlPr xmlns="http://schemas.microsoft.com/office/spreadsheetml/2009/9/main" objectType="CheckBox" fmlaLink="'Pricing and calculations'!$I$89" lockText="1" noThreeD="1"/>
</file>

<file path=xl/ctrlProps/ctrlProp365.xml><?xml version="1.0" encoding="utf-8"?>
<formControlPr xmlns="http://schemas.microsoft.com/office/spreadsheetml/2009/9/main" objectType="CheckBox" fmlaLink="'Pricing and calculations'!$J$90" lockText="1" noThreeD="1"/>
</file>

<file path=xl/ctrlProps/ctrlProp366.xml><?xml version="1.0" encoding="utf-8"?>
<formControlPr xmlns="http://schemas.microsoft.com/office/spreadsheetml/2009/9/main" objectType="CheckBox" fmlaLink="'Pricing and calculations'!$K$90" lockText="1" noThreeD="1"/>
</file>

<file path=xl/ctrlProps/ctrlProp367.xml><?xml version="1.0" encoding="utf-8"?>
<formControlPr xmlns="http://schemas.microsoft.com/office/spreadsheetml/2009/9/main" objectType="CheckBox" fmlaLink="'Pricing and calculations'!$H$90" lockText="1" noThreeD="1"/>
</file>

<file path=xl/ctrlProps/ctrlProp368.xml><?xml version="1.0" encoding="utf-8"?>
<formControlPr xmlns="http://schemas.microsoft.com/office/spreadsheetml/2009/9/main" objectType="CheckBox" fmlaLink="'Pricing and calculations'!$I$90" lockText="1" noThreeD="1"/>
</file>

<file path=xl/ctrlProps/ctrlProp369.xml><?xml version="1.0" encoding="utf-8"?>
<formControlPr xmlns="http://schemas.microsoft.com/office/spreadsheetml/2009/9/main" objectType="CheckBox" fmlaLink="'Pricing and calculations'!$J$91" lockText="1" noThreeD="1"/>
</file>

<file path=xl/ctrlProps/ctrlProp37.xml><?xml version="1.0" encoding="utf-8"?>
<formControlPr xmlns="http://schemas.microsoft.com/office/spreadsheetml/2009/9/main" objectType="CheckBox" fmlaLink="'Pricing and calculations'!$C$89" lockText="1" noThreeD="1"/>
</file>

<file path=xl/ctrlProps/ctrlProp370.xml><?xml version="1.0" encoding="utf-8"?>
<formControlPr xmlns="http://schemas.microsoft.com/office/spreadsheetml/2009/9/main" objectType="CheckBox" fmlaLink="'Pricing and calculations'!$K$91" lockText="1" noThreeD="1"/>
</file>

<file path=xl/ctrlProps/ctrlProp371.xml><?xml version="1.0" encoding="utf-8"?>
<formControlPr xmlns="http://schemas.microsoft.com/office/spreadsheetml/2009/9/main" objectType="CheckBox" fmlaLink="'Pricing and calculations'!$H$91" lockText="1" noThreeD="1"/>
</file>

<file path=xl/ctrlProps/ctrlProp372.xml><?xml version="1.0" encoding="utf-8"?>
<formControlPr xmlns="http://schemas.microsoft.com/office/spreadsheetml/2009/9/main" objectType="CheckBox" fmlaLink="'Pricing and calculations'!$I$91" lockText="1" noThreeD="1"/>
</file>

<file path=xl/ctrlProps/ctrlProp373.xml><?xml version="1.0" encoding="utf-8"?>
<formControlPr xmlns="http://schemas.microsoft.com/office/spreadsheetml/2009/9/main" objectType="CheckBox" fmlaLink="'Pricing and calculations'!$J$92" lockText="1" noThreeD="1"/>
</file>

<file path=xl/ctrlProps/ctrlProp374.xml><?xml version="1.0" encoding="utf-8"?>
<formControlPr xmlns="http://schemas.microsoft.com/office/spreadsheetml/2009/9/main" objectType="CheckBox" fmlaLink="'Pricing and calculations'!$K$92" lockText="1" noThreeD="1"/>
</file>

<file path=xl/ctrlProps/ctrlProp375.xml><?xml version="1.0" encoding="utf-8"?>
<formControlPr xmlns="http://schemas.microsoft.com/office/spreadsheetml/2009/9/main" objectType="CheckBox" fmlaLink="'Pricing and calculations'!$H$92" lockText="1" noThreeD="1"/>
</file>

<file path=xl/ctrlProps/ctrlProp376.xml><?xml version="1.0" encoding="utf-8"?>
<formControlPr xmlns="http://schemas.microsoft.com/office/spreadsheetml/2009/9/main" objectType="CheckBox" fmlaLink="'Pricing and calculations'!$I$92" lockText="1" noThreeD="1"/>
</file>

<file path=xl/ctrlProps/ctrlProp377.xml><?xml version="1.0" encoding="utf-8"?>
<formControlPr xmlns="http://schemas.microsoft.com/office/spreadsheetml/2009/9/main" objectType="CheckBox" fmlaLink="'Pricing and calculations'!$J$93" lockText="1" noThreeD="1"/>
</file>

<file path=xl/ctrlProps/ctrlProp378.xml><?xml version="1.0" encoding="utf-8"?>
<formControlPr xmlns="http://schemas.microsoft.com/office/spreadsheetml/2009/9/main" objectType="CheckBox" fmlaLink="'Pricing and calculations'!$K$93" lockText="1" noThreeD="1"/>
</file>

<file path=xl/ctrlProps/ctrlProp379.xml><?xml version="1.0" encoding="utf-8"?>
<formControlPr xmlns="http://schemas.microsoft.com/office/spreadsheetml/2009/9/main" objectType="CheckBox" fmlaLink="'Pricing and calculations'!$H$93" lockText="1" noThreeD="1"/>
</file>

<file path=xl/ctrlProps/ctrlProp38.xml><?xml version="1.0" encoding="utf-8"?>
<formControlPr xmlns="http://schemas.microsoft.com/office/spreadsheetml/2009/9/main" objectType="CheckBox" fmlaLink="'Pricing and calculations'!$C$90" lockText="1" noThreeD="1"/>
</file>

<file path=xl/ctrlProps/ctrlProp380.xml><?xml version="1.0" encoding="utf-8"?>
<formControlPr xmlns="http://schemas.microsoft.com/office/spreadsheetml/2009/9/main" objectType="CheckBox" fmlaLink="'Pricing and calculations'!$I$93" lockText="1" noThreeD="1"/>
</file>

<file path=xl/ctrlProps/ctrlProp381.xml><?xml version="1.0" encoding="utf-8"?>
<formControlPr xmlns="http://schemas.microsoft.com/office/spreadsheetml/2009/9/main" objectType="CheckBox" fmlaLink="'Pricing and calculations'!$J$94" lockText="1" noThreeD="1"/>
</file>

<file path=xl/ctrlProps/ctrlProp382.xml><?xml version="1.0" encoding="utf-8"?>
<formControlPr xmlns="http://schemas.microsoft.com/office/spreadsheetml/2009/9/main" objectType="CheckBox" fmlaLink="'Pricing and calculations'!$K$94" lockText="1" noThreeD="1"/>
</file>

<file path=xl/ctrlProps/ctrlProp383.xml><?xml version="1.0" encoding="utf-8"?>
<formControlPr xmlns="http://schemas.microsoft.com/office/spreadsheetml/2009/9/main" objectType="CheckBox" fmlaLink="'Pricing and calculations'!$H$94" lockText="1" noThreeD="1"/>
</file>

<file path=xl/ctrlProps/ctrlProp384.xml><?xml version="1.0" encoding="utf-8"?>
<formControlPr xmlns="http://schemas.microsoft.com/office/spreadsheetml/2009/9/main" objectType="CheckBox" fmlaLink="'Pricing and calculations'!$I$94" lockText="1" noThreeD="1"/>
</file>

<file path=xl/ctrlProps/ctrlProp39.xml><?xml version="1.0" encoding="utf-8"?>
<formControlPr xmlns="http://schemas.microsoft.com/office/spreadsheetml/2009/9/main" objectType="CheckBox" fmlaLink="'Pricing and calculations'!$C$91" lockText="1" noThreeD="1"/>
</file>

<file path=xl/ctrlProps/ctrlProp4.xml><?xml version="1.0" encoding="utf-8"?>
<formControlPr xmlns="http://schemas.microsoft.com/office/spreadsheetml/2009/9/main" objectType="CheckBox" fmlaLink="$AI$8" lockText="1" noThreeD="1"/>
</file>

<file path=xl/ctrlProps/ctrlProp40.xml><?xml version="1.0" encoding="utf-8"?>
<formControlPr xmlns="http://schemas.microsoft.com/office/spreadsheetml/2009/9/main" objectType="CheckBox" fmlaLink="'Pricing and calculations'!$C$92" lockText="1" noThreeD="1"/>
</file>

<file path=xl/ctrlProps/ctrlProp41.xml><?xml version="1.0" encoding="utf-8"?>
<formControlPr xmlns="http://schemas.microsoft.com/office/spreadsheetml/2009/9/main" objectType="CheckBox" fmlaLink="'Pricing and calculations'!$C$93" lockText="1" noThreeD="1"/>
</file>

<file path=xl/ctrlProps/ctrlProp42.xml><?xml version="1.0" encoding="utf-8"?>
<formControlPr xmlns="http://schemas.microsoft.com/office/spreadsheetml/2009/9/main" objectType="CheckBox" fmlaLink="'Pricing and calculations'!$C$94" lockText="1" noThreeD="1"/>
</file>

<file path=xl/ctrlProps/ctrlProp43.xml><?xml version="1.0" encoding="utf-8"?>
<formControlPr xmlns="http://schemas.microsoft.com/office/spreadsheetml/2009/9/main" objectType="CheckBox" checked="Checked" fmlaLink="'Pricing and calculations'!$F$75" lockText="1" noThreeD="1"/>
</file>

<file path=xl/ctrlProps/ctrlProp44.xml><?xml version="1.0" encoding="utf-8"?>
<formControlPr xmlns="http://schemas.microsoft.com/office/spreadsheetml/2009/9/main" objectType="CheckBox" checked="Checked" fmlaLink="'Pricing and calculations'!G75" lockText="1" noThreeD="1"/>
</file>

<file path=xl/ctrlProps/ctrlProp45.xml><?xml version="1.0" encoding="utf-8"?>
<formControlPr xmlns="http://schemas.microsoft.com/office/spreadsheetml/2009/9/main" objectType="CheckBox" checked="Checked" fmlaLink="'Pricing and calculations'!D75" lockText="1" noThreeD="1"/>
</file>

<file path=xl/ctrlProps/ctrlProp46.xml><?xml version="1.0" encoding="utf-8"?>
<formControlPr xmlns="http://schemas.microsoft.com/office/spreadsheetml/2009/9/main" objectType="CheckBox" checked="Checked" fmlaLink="'Pricing and calculations'!E75" lockText="1" noThreeD="1"/>
</file>

<file path=xl/ctrlProps/ctrlProp47.xml><?xml version="1.0" encoding="utf-8"?>
<formControlPr xmlns="http://schemas.microsoft.com/office/spreadsheetml/2009/9/main" objectType="CheckBox" checked="Checked" fmlaLink="'Pricing and calculations'!F76" lockText="1" noThreeD="1"/>
</file>

<file path=xl/ctrlProps/ctrlProp48.xml><?xml version="1.0" encoding="utf-8"?>
<formControlPr xmlns="http://schemas.microsoft.com/office/spreadsheetml/2009/9/main" objectType="CheckBox" checked="Checked" fmlaLink="'Pricing and calculations'!G76" lockText="1" noThreeD="1"/>
</file>

<file path=xl/ctrlProps/ctrlProp49.xml><?xml version="1.0" encoding="utf-8"?>
<formControlPr xmlns="http://schemas.microsoft.com/office/spreadsheetml/2009/9/main" objectType="CheckBox" checked="Checked" fmlaLink="'Pricing and calculations'!D76" lockText="1" noThreeD="1"/>
</file>

<file path=xl/ctrlProps/ctrlProp5.xml><?xml version="1.0" encoding="utf-8"?>
<formControlPr xmlns="http://schemas.microsoft.com/office/spreadsheetml/2009/9/main" objectType="CheckBox" fmlaLink="$AI$9" lockText="1" noThreeD="1"/>
</file>

<file path=xl/ctrlProps/ctrlProp50.xml><?xml version="1.0" encoding="utf-8"?>
<formControlPr xmlns="http://schemas.microsoft.com/office/spreadsheetml/2009/9/main" objectType="CheckBox" checked="Checked" fmlaLink="'Pricing and calculations'!E76" lockText="1" noThreeD="1"/>
</file>

<file path=xl/ctrlProps/ctrlProp51.xml><?xml version="1.0" encoding="utf-8"?>
<formControlPr xmlns="http://schemas.microsoft.com/office/spreadsheetml/2009/9/main" objectType="CheckBox" checked="Checked" fmlaLink="'Pricing and calculations'!$F$77" lockText="1" noThreeD="1"/>
</file>

<file path=xl/ctrlProps/ctrlProp52.xml><?xml version="1.0" encoding="utf-8"?>
<formControlPr xmlns="http://schemas.microsoft.com/office/spreadsheetml/2009/9/main" objectType="CheckBox" checked="Checked" fmlaLink="'Pricing and calculations'!G77" lockText="1" noThreeD="1"/>
</file>

<file path=xl/ctrlProps/ctrlProp53.xml><?xml version="1.0" encoding="utf-8"?>
<formControlPr xmlns="http://schemas.microsoft.com/office/spreadsheetml/2009/9/main" objectType="CheckBox" checked="Checked" fmlaLink="'Pricing and calculations'!D77" lockText="1" noThreeD="1"/>
</file>

<file path=xl/ctrlProps/ctrlProp54.xml><?xml version="1.0" encoding="utf-8"?>
<formControlPr xmlns="http://schemas.microsoft.com/office/spreadsheetml/2009/9/main" objectType="CheckBox" checked="Checked" fmlaLink="'Pricing and calculations'!E77" lockText="1" noThreeD="1"/>
</file>

<file path=xl/ctrlProps/ctrlProp55.xml><?xml version="1.0" encoding="utf-8"?>
<formControlPr xmlns="http://schemas.microsoft.com/office/spreadsheetml/2009/9/main" objectType="CheckBox" checked="Checked" fmlaLink="'Pricing and calculations'!$F$78" lockText="1" noThreeD="1"/>
</file>

<file path=xl/ctrlProps/ctrlProp56.xml><?xml version="1.0" encoding="utf-8"?>
<formControlPr xmlns="http://schemas.microsoft.com/office/spreadsheetml/2009/9/main" objectType="CheckBox" checked="Checked" fmlaLink="'Pricing and calculations'!G78" lockText="1" noThreeD="1"/>
</file>

<file path=xl/ctrlProps/ctrlProp57.xml><?xml version="1.0" encoding="utf-8"?>
<formControlPr xmlns="http://schemas.microsoft.com/office/spreadsheetml/2009/9/main" objectType="CheckBox" checked="Checked" fmlaLink="'Pricing and calculations'!D78" lockText="1" noThreeD="1"/>
</file>

<file path=xl/ctrlProps/ctrlProp58.xml><?xml version="1.0" encoding="utf-8"?>
<formControlPr xmlns="http://schemas.microsoft.com/office/spreadsheetml/2009/9/main" objectType="CheckBox" checked="Checked" fmlaLink="'Pricing and calculations'!E78" lockText="1" noThreeD="1"/>
</file>

<file path=xl/ctrlProps/ctrlProp59.xml><?xml version="1.0" encoding="utf-8"?>
<formControlPr xmlns="http://schemas.microsoft.com/office/spreadsheetml/2009/9/main" objectType="CheckBox" checked="Checked" fmlaLink="'Pricing and calculations'!$F$79" lockText="1" noThreeD="1"/>
</file>

<file path=xl/ctrlProps/ctrlProp6.xml><?xml version="1.0" encoding="utf-8"?>
<formControlPr xmlns="http://schemas.microsoft.com/office/spreadsheetml/2009/9/main" objectType="CheckBox" fmlaLink="$AI$10" lockText="1" noThreeD="1"/>
</file>

<file path=xl/ctrlProps/ctrlProp60.xml><?xml version="1.0" encoding="utf-8"?>
<formControlPr xmlns="http://schemas.microsoft.com/office/spreadsheetml/2009/9/main" objectType="CheckBox" checked="Checked" fmlaLink="'Pricing and calculations'!G79" lockText="1" noThreeD="1"/>
</file>

<file path=xl/ctrlProps/ctrlProp61.xml><?xml version="1.0" encoding="utf-8"?>
<formControlPr xmlns="http://schemas.microsoft.com/office/spreadsheetml/2009/9/main" objectType="CheckBox" checked="Checked" fmlaLink="'Pricing and calculations'!D79" lockText="1" noThreeD="1"/>
</file>

<file path=xl/ctrlProps/ctrlProp62.xml><?xml version="1.0" encoding="utf-8"?>
<formControlPr xmlns="http://schemas.microsoft.com/office/spreadsheetml/2009/9/main" objectType="CheckBox" checked="Checked" fmlaLink="'Pricing and calculations'!E79" lockText="1" noThreeD="1"/>
</file>

<file path=xl/ctrlProps/ctrlProp63.xml><?xml version="1.0" encoding="utf-8"?>
<formControlPr xmlns="http://schemas.microsoft.com/office/spreadsheetml/2009/9/main" objectType="CheckBox" checked="Checked" fmlaLink="'Pricing and calculations'!$F$80" lockText="1" noThreeD="1"/>
</file>

<file path=xl/ctrlProps/ctrlProp64.xml><?xml version="1.0" encoding="utf-8"?>
<formControlPr xmlns="http://schemas.microsoft.com/office/spreadsheetml/2009/9/main" objectType="CheckBox" checked="Checked" fmlaLink="'Pricing and calculations'!G80" lockText="1" noThreeD="1"/>
</file>

<file path=xl/ctrlProps/ctrlProp65.xml><?xml version="1.0" encoding="utf-8"?>
<formControlPr xmlns="http://schemas.microsoft.com/office/spreadsheetml/2009/9/main" objectType="CheckBox" checked="Checked" fmlaLink="'Pricing and calculations'!D80" lockText="1" noThreeD="1"/>
</file>

<file path=xl/ctrlProps/ctrlProp66.xml><?xml version="1.0" encoding="utf-8"?>
<formControlPr xmlns="http://schemas.microsoft.com/office/spreadsheetml/2009/9/main" objectType="CheckBox" fmlaLink="'Pricing and calculations'!E80" lockText="1" noThreeD="1"/>
</file>

<file path=xl/ctrlProps/ctrlProp67.xml><?xml version="1.0" encoding="utf-8"?>
<formControlPr xmlns="http://schemas.microsoft.com/office/spreadsheetml/2009/9/main" objectType="CheckBox" checked="Checked" fmlaLink="'Pricing and calculations'!$F$81" lockText="1" noThreeD="1"/>
</file>

<file path=xl/ctrlProps/ctrlProp68.xml><?xml version="1.0" encoding="utf-8"?>
<formControlPr xmlns="http://schemas.microsoft.com/office/spreadsheetml/2009/9/main" objectType="CheckBox" checked="Checked" fmlaLink="'Pricing and calculations'!G81" lockText="1" noThreeD="1"/>
</file>

<file path=xl/ctrlProps/ctrlProp69.xml><?xml version="1.0" encoding="utf-8"?>
<formControlPr xmlns="http://schemas.microsoft.com/office/spreadsheetml/2009/9/main" objectType="CheckBox" checked="Checked" fmlaLink="'Pricing and calculations'!D81" lockText="1" noThreeD="1"/>
</file>

<file path=xl/ctrlProps/ctrlProp7.xml><?xml version="1.0" encoding="utf-8"?>
<formControlPr xmlns="http://schemas.microsoft.com/office/spreadsheetml/2009/9/main" objectType="CheckBox" fmlaLink="$AI$11" lockText="1" noThreeD="1"/>
</file>

<file path=xl/ctrlProps/ctrlProp70.xml><?xml version="1.0" encoding="utf-8"?>
<formControlPr xmlns="http://schemas.microsoft.com/office/spreadsheetml/2009/9/main" objectType="CheckBox" fmlaLink="'Pricing and calculations'!E81" lockText="1" noThreeD="1"/>
</file>

<file path=xl/ctrlProps/ctrlProp71.xml><?xml version="1.0" encoding="utf-8"?>
<formControlPr xmlns="http://schemas.microsoft.com/office/spreadsheetml/2009/9/main" objectType="CheckBox" checked="Checked" fmlaLink="'Pricing and calculations'!$F$82" lockText="1" noThreeD="1"/>
</file>

<file path=xl/ctrlProps/ctrlProp72.xml><?xml version="1.0" encoding="utf-8"?>
<formControlPr xmlns="http://schemas.microsoft.com/office/spreadsheetml/2009/9/main" objectType="CheckBox" checked="Checked" fmlaLink="'Pricing and calculations'!G82" lockText="1" noThreeD="1"/>
</file>

<file path=xl/ctrlProps/ctrlProp73.xml><?xml version="1.0" encoding="utf-8"?>
<formControlPr xmlns="http://schemas.microsoft.com/office/spreadsheetml/2009/9/main" objectType="CheckBox" checked="Checked" fmlaLink="'Pricing and calculations'!D82" lockText="1" noThreeD="1"/>
</file>

<file path=xl/ctrlProps/ctrlProp74.xml><?xml version="1.0" encoding="utf-8"?>
<formControlPr xmlns="http://schemas.microsoft.com/office/spreadsheetml/2009/9/main" objectType="CheckBox" checked="Checked" fmlaLink="'Pricing and calculations'!E82" lockText="1" noThreeD="1"/>
</file>

<file path=xl/ctrlProps/ctrlProp75.xml><?xml version="1.0" encoding="utf-8"?>
<formControlPr xmlns="http://schemas.microsoft.com/office/spreadsheetml/2009/9/main" objectType="CheckBox" checked="Checked" fmlaLink="'Pricing and calculations'!$F$83" lockText="1" noThreeD="1"/>
</file>

<file path=xl/ctrlProps/ctrlProp76.xml><?xml version="1.0" encoding="utf-8"?>
<formControlPr xmlns="http://schemas.microsoft.com/office/spreadsheetml/2009/9/main" objectType="CheckBox" checked="Checked" fmlaLink="'Pricing and calculations'!G83" lockText="1" noThreeD="1"/>
</file>

<file path=xl/ctrlProps/ctrlProp77.xml><?xml version="1.0" encoding="utf-8"?>
<formControlPr xmlns="http://schemas.microsoft.com/office/spreadsheetml/2009/9/main" objectType="CheckBox" checked="Checked" fmlaLink="'Pricing and calculations'!D83" lockText="1" noThreeD="1"/>
</file>

<file path=xl/ctrlProps/ctrlProp78.xml><?xml version="1.0" encoding="utf-8"?>
<formControlPr xmlns="http://schemas.microsoft.com/office/spreadsheetml/2009/9/main" objectType="CheckBox" checked="Checked" fmlaLink="'Pricing and calculations'!E83" lockText="1" noThreeD="1"/>
</file>

<file path=xl/ctrlProps/ctrlProp79.xml><?xml version="1.0" encoding="utf-8"?>
<formControlPr xmlns="http://schemas.microsoft.com/office/spreadsheetml/2009/9/main" objectType="CheckBox" fmlaLink="'Pricing and calculations'!$F$84" lockText="1" noThreeD="1"/>
</file>

<file path=xl/ctrlProps/ctrlProp8.xml><?xml version="1.0" encoding="utf-8"?>
<formControlPr xmlns="http://schemas.microsoft.com/office/spreadsheetml/2009/9/main" objectType="CheckBox" fmlaLink="$AI$12" lockText="1" noThreeD="1"/>
</file>

<file path=xl/ctrlProps/ctrlProp80.xml><?xml version="1.0" encoding="utf-8"?>
<formControlPr xmlns="http://schemas.microsoft.com/office/spreadsheetml/2009/9/main" objectType="CheckBox" fmlaLink="'Pricing and calculations'!G84" lockText="1" noThreeD="1"/>
</file>

<file path=xl/ctrlProps/ctrlProp81.xml><?xml version="1.0" encoding="utf-8"?>
<formControlPr xmlns="http://schemas.microsoft.com/office/spreadsheetml/2009/9/main" objectType="CheckBox" fmlaLink="'Pricing and calculations'!D84" lockText="1" noThreeD="1"/>
</file>

<file path=xl/ctrlProps/ctrlProp82.xml><?xml version="1.0" encoding="utf-8"?>
<formControlPr xmlns="http://schemas.microsoft.com/office/spreadsheetml/2009/9/main" objectType="CheckBox" fmlaLink="'Pricing and calculations'!E84" lockText="1" noThreeD="1"/>
</file>

<file path=xl/ctrlProps/ctrlProp83.xml><?xml version="1.0" encoding="utf-8"?>
<formControlPr xmlns="http://schemas.microsoft.com/office/spreadsheetml/2009/9/main" objectType="CheckBox" fmlaLink="'Pricing and calculations'!$F$85" lockText="1" noThreeD="1"/>
</file>

<file path=xl/ctrlProps/ctrlProp84.xml><?xml version="1.0" encoding="utf-8"?>
<formControlPr xmlns="http://schemas.microsoft.com/office/spreadsheetml/2009/9/main" objectType="CheckBox" fmlaLink="'Pricing and calculations'!G85" lockText="1" noThreeD="1"/>
</file>

<file path=xl/ctrlProps/ctrlProp85.xml><?xml version="1.0" encoding="utf-8"?>
<formControlPr xmlns="http://schemas.microsoft.com/office/spreadsheetml/2009/9/main" objectType="CheckBox" fmlaLink="'Pricing and calculations'!D85" lockText="1" noThreeD="1"/>
</file>

<file path=xl/ctrlProps/ctrlProp86.xml><?xml version="1.0" encoding="utf-8"?>
<formControlPr xmlns="http://schemas.microsoft.com/office/spreadsheetml/2009/9/main" objectType="CheckBox" fmlaLink="'Pricing and calculations'!E85" lockText="1" noThreeD="1"/>
</file>

<file path=xl/ctrlProps/ctrlProp87.xml><?xml version="1.0" encoding="utf-8"?>
<formControlPr xmlns="http://schemas.microsoft.com/office/spreadsheetml/2009/9/main" objectType="CheckBox" fmlaLink="'Pricing and calculations'!$F$86" lockText="1" noThreeD="1"/>
</file>

<file path=xl/ctrlProps/ctrlProp88.xml><?xml version="1.0" encoding="utf-8"?>
<formControlPr xmlns="http://schemas.microsoft.com/office/spreadsheetml/2009/9/main" objectType="CheckBox" fmlaLink="'Pricing and calculations'!G86" lockText="1" noThreeD="1"/>
</file>

<file path=xl/ctrlProps/ctrlProp89.xml><?xml version="1.0" encoding="utf-8"?>
<formControlPr xmlns="http://schemas.microsoft.com/office/spreadsheetml/2009/9/main" objectType="CheckBox" fmlaLink="'Pricing and calculations'!D86" lockText="1" noThreeD="1"/>
</file>

<file path=xl/ctrlProps/ctrlProp9.xml><?xml version="1.0" encoding="utf-8"?>
<formControlPr xmlns="http://schemas.microsoft.com/office/spreadsheetml/2009/9/main" objectType="CheckBox" fmlaLink="$AI$13" lockText="1" noThreeD="1"/>
</file>

<file path=xl/ctrlProps/ctrlProp90.xml><?xml version="1.0" encoding="utf-8"?>
<formControlPr xmlns="http://schemas.microsoft.com/office/spreadsheetml/2009/9/main" objectType="CheckBox" fmlaLink="'Pricing and calculations'!E86" lockText="1" noThreeD="1"/>
</file>

<file path=xl/ctrlProps/ctrlProp91.xml><?xml version="1.0" encoding="utf-8"?>
<formControlPr xmlns="http://schemas.microsoft.com/office/spreadsheetml/2009/9/main" objectType="CheckBox" fmlaLink="'Pricing and calculations'!$F$87" lockText="1" noThreeD="1"/>
</file>

<file path=xl/ctrlProps/ctrlProp92.xml><?xml version="1.0" encoding="utf-8"?>
<formControlPr xmlns="http://schemas.microsoft.com/office/spreadsheetml/2009/9/main" objectType="CheckBox" fmlaLink="'Pricing and calculations'!G87" lockText="1" noThreeD="1"/>
</file>

<file path=xl/ctrlProps/ctrlProp93.xml><?xml version="1.0" encoding="utf-8"?>
<formControlPr xmlns="http://schemas.microsoft.com/office/spreadsheetml/2009/9/main" objectType="CheckBox" fmlaLink="'Pricing and calculations'!D87" lockText="1" noThreeD="1"/>
</file>

<file path=xl/ctrlProps/ctrlProp94.xml><?xml version="1.0" encoding="utf-8"?>
<formControlPr xmlns="http://schemas.microsoft.com/office/spreadsheetml/2009/9/main" objectType="CheckBox" fmlaLink="'Pricing and calculations'!E87" lockText="1" noThreeD="1"/>
</file>

<file path=xl/ctrlProps/ctrlProp95.xml><?xml version="1.0" encoding="utf-8"?>
<formControlPr xmlns="http://schemas.microsoft.com/office/spreadsheetml/2009/9/main" objectType="CheckBox" fmlaLink="'Pricing and calculations'!$F$88" lockText="1" noThreeD="1"/>
</file>

<file path=xl/ctrlProps/ctrlProp96.xml><?xml version="1.0" encoding="utf-8"?>
<formControlPr xmlns="http://schemas.microsoft.com/office/spreadsheetml/2009/9/main" objectType="CheckBox" fmlaLink="'Pricing and calculations'!G88" lockText="1" noThreeD="1"/>
</file>

<file path=xl/ctrlProps/ctrlProp97.xml><?xml version="1.0" encoding="utf-8"?>
<formControlPr xmlns="http://schemas.microsoft.com/office/spreadsheetml/2009/9/main" objectType="CheckBox" fmlaLink="'Pricing and calculations'!D88" lockText="1" noThreeD="1"/>
</file>

<file path=xl/ctrlProps/ctrlProp98.xml><?xml version="1.0" encoding="utf-8"?>
<formControlPr xmlns="http://schemas.microsoft.com/office/spreadsheetml/2009/9/main" objectType="CheckBox" fmlaLink="'Pricing and calculations'!E88" lockText="1" noThreeD="1"/>
</file>

<file path=xl/ctrlProps/ctrlProp99.xml><?xml version="1.0" encoding="utf-8"?>
<formControlPr xmlns="http://schemas.microsoft.com/office/spreadsheetml/2009/9/main" objectType="CheckBox" fmlaLink="'Pricing and calculations'!$F$8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0.jpeg"/></Relationships>
</file>

<file path=xl/drawings/_rels/vmlDrawing3.vml.rels><?xml version="1.0" encoding="UTF-8" standalone="yes"?>
<Relationships xmlns="http://schemas.openxmlformats.org/package/2006/relationships"><Relationship Id="rId8" Type="http://schemas.openxmlformats.org/officeDocument/2006/relationships/image" Target="../media/image9.emf"/><Relationship Id="rId13" Type="http://schemas.openxmlformats.org/officeDocument/2006/relationships/image" Target="../media/image14.emf"/><Relationship Id="rId18" Type="http://schemas.openxmlformats.org/officeDocument/2006/relationships/image" Target="../media/image19.wmf"/><Relationship Id="rId3" Type="http://schemas.openxmlformats.org/officeDocument/2006/relationships/image" Target="../media/image4.emf"/><Relationship Id="rId7" Type="http://schemas.openxmlformats.org/officeDocument/2006/relationships/image" Target="../media/image8.emf"/><Relationship Id="rId12" Type="http://schemas.openxmlformats.org/officeDocument/2006/relationships/image" Target="../media/image13.emf"/><Relationship Id="rId17" Type="http://schemas.openxmlformats.org/officeDocument/2006/relationships/image" Target="../media/image18.wmf"/><Relationship Id="rId2" Type="http://schemas.openxmlformats.org/officeDocument/2006/relationships/image" Target="../media/image3.emf"/><Relationship Id="rId16" Type="http://schemas.openxmlformats.org/officeDocument/2006/relationships/image" Target="../media/image17.wmf"/><Relationship Id="rId1" Type="http://schemas.openxmlformats.org/officeDocument/2006/relationships/image" Target="../media/image2.emf"/><Relationship Id="rId6" Type="http://schemas.openxmlformats.org/officeDocument/2006/relationships/image" Target="../media/image7.emf"/><Relationship Id="rId11" Type="http://schemas.openxmlformats.org/officeDocument/2006/relationships/image" Target="../media/image12.emf"/><Relationship Id="rId5" Type="http://schemas.openxmlformats.org/officeDocument/2006/relationships/image" Target="../media/image6.emf"/><Relationship Id="rId15" Type="http://schemas.openxmlformats.org/officeDocument/2006/relationships/image" Target="../media/image16.emf"/><Relationship Id="rId10" Type="http://schemas.openxmlformats.org/officeDocument/2006/relationships/image" Target="../media/image11.emf"/><Relationship Id="rId4" Type="http://schemas.openxmlformats.org/officeDocument/2006/relationships/image" Target="../media/image5.emf"/><Relationship Id="rId9" Type="http://schemas.openxmlformats.org/officeDocument/2006/relationships/image" Target="../media/image10.emf"/><Relationship Id="rId14"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oneCell">
    <xdr:from>
      <xdr:col>7</xdr:col>
      <xdr:colOff>428625</xdr:colOff>
      <xdr:row>53</xdr:row>
      <xdr:rowOff>161925</xdr:rowOff>
    </xdr:from>
    <xdr:to>
      <xdr:col>9</xdr:col>
      <xdr:colOff>133350</xdr:colOff>
      <xdr:row>59</xdr:row>
      <xdr:rowOff>171450</xdr:rowOff>
    </xdr:to>
    <xdr:pic>
      <xdr:nvPicPr>
        <xdr:cNvPr id="53544" name="Picture 1055" descr="S-CRAFT reduced for L">
          <a:extLst>
            <a:ext uri="{FF2B5EF4-FFF2-40B4-BE49-F238E27FC236}">
              <a16:creationId xmlns:a16="http://schemas.microsoft.com/office/drawing/2014/main" id="{00000000-0008-0000-0000-000028D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10906125"/>
          <a:ext cx="9144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12</xdr:col>
          <xdr:colOff>38100</xdr:colOff>
          <xdr:row>3</xdr:row>
          <xdr:rowOff>0</xdr:rowOff>
        </xdr:from>
        <xdr:to>
          <xdr:col>13</xdr:col>
          <xdr:colOff>9525</xdr:colOff>
          <xdr:row>4</xdr:row>
          <xdr:rowOff>161925</xdr:rowOff>
        </xdr:to>
        <xdr:sp macro="" textlink="">
          <xdr:nvSpPr>
            <xdr:cNvPr id="16744" name="Option Button 1384" descr="Normal" hidden="1">
              <a:extLst>
                <a:ext uri="{63B3BB69-23CF-44E3-9099-C40C66FF867C}">
                  <a14:compatExt spid="_x0000_s16744"/>
                </a:ext>
                <a:ext uri="{FF2B5EF4-FFF2-40B4-BE49-F238E27FC236}">
                  <a16:creationId xmlns:a16="http://schemas.microsoft.com/office/drawing/2014/main" id="{00000000-0008-0000-0000-00006841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Normal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9525</xdr:rowOff>
        </xdr:from>
        <xdr:to>
          <xdr:col>14</xdr:col>
          <xdr:colOff>276225</xdr:colOff>
          <xdr:row>4</xdr:row>
          <xdr:rowOff>161925</xdr:rowOff>
        </xdr:to>
        <xdr:sp macro="" textlink="">
          <xdr:nvSpPr>
            <xdr:cNvPr id="16746" name="Option Button 1386" hidden="1">
              <a:extLst>
                <a:ext uri="{63B3BB69-23CF-44E3-9099-C40C66FF867C}">
                  <a14:compatExt spid="_x0000_s16746"/>
                </a:ext>
                <a:ext uri="{FF2B5EF4-FFF2-40B4-BE49-F238E27FC236}">
                  <a16:creationId xmlns:a16="http://schemas.microsoft.com/office/drawing/2014/main" id="{00000000-0008-0000-0000-00006A41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Alternative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6</xdr:row>
          <xdr:rowOff>9525</xdr:rowOff>
        </xdr:from>
        <xdr:to>
          <xdr:col>19</xdr:col>
          <xdr:colOff>638175</xdr:colOff>
          <xdr:row>6</xdr:row>
          <xdr:rowOff>180975</xdr:rowOff>
        </xdr:to>
        <xdr:grpSp>
          <xdr:nvGrpSpPr>
            <xdr:cNvPr id="53545" name="Group 3">
              <a:extLst>
                <a:ext uri="{FF2B5EF4-FFF2-40B4-BE49-F238E27FC236}">
                  <a16:creationId xmlns:a16="http://schemas.microsoft.com/office/drawing/2014/main" id="{00000000-0008-0000-0000-000029D10000}"/>
                </a:ext>
              </a:extLst>
            </xdr:cNvPr>
            <xdr:cNvGrpSpPr>
              <a:grpSpLocks/>
            </xdr:cNvGrpSpPr>
          </xdr:nvGrpSpPr>
          <xdr:grpSpPr bwMode="auto">
            <a:xfrm>
              <a:off x="12498921" y="1268942"/>
              <a:ext cx="638173" cy="171450"/>
              <a:chOff x="9751203" y="1283538"/>
              <a:chExt cx="775159" cy="149225"/>
            </a:xfrm>
          </xdr:grpSpPr>
          <xdr:sp macro="" textlink="">
            <xdr:nvSpPr>
              <xdr:cNvPr id="17277" name="LeftSide" descr="Sides" hidden="1">
                <a:extLst>
                  <a:ext uri="{63B3BB69-23CF-44E3-9099-C40C66FF867C}">
                    <a14:compatExt spid="_x0000_s17277"/>
                  </a:ext>
                  <a:ext uri="{FF2B5EF4-FFF2-40B4-BE49-F238E27FC236}">
                    <a16:creationId xmlns:a16="http://schemas.microsoft.com/office/drawing/2014/main" id="{00000000-0008-0000-0000-00007D430000}"/>
                  </a:ext>
                </a:extLst>
              </xdr:cNvPr>
              <xdr:cNvSpPr/>
            </xdr:nvSpPr>
            <xdr:spPr bwMode="auto">
              <a:xfrm>
                <a:off x="10156259" y="1283539"/>
                <a:ext cx="165102"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80" name="RightSide" descr="Sides" hidden="1">
                <a:extLst>
                  <a:ext uri="{63B3BB69-23CF-44E3-9099-C40C66FF867C}">
                    <a14:compatExt spid="_x0000_s17280"/>
                  </a:ext>
                  <a:ext uri="{FF2B5EF4-FFF2-40B4-BE49-F238E27FC236}">
                    <a16:creationId xmlns:a16="http://schemas.microsoft.com/office/drawing/2014/main" id="{00000000-0008-0000-0000-000080430000}"/>
                  </a:ext>
                </a:extLst>
              </xdr:cNvPr>
              <xdr:cNvSpPr/>
            </xdr:nvSpPr>
            <xdr:spPr bwMode="auto">
              <a:xfrm>
                <a:off x="10364440" y="1283538"/>
                <a:ext cx="16192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81" name="TopSide" descr="Sides" hidden="1">
                <a:extLst>
                  <a:ext uri="{63B3BB69-23CF-44E3-9099-C40C66FF867C}">
                    <a14:compatExt spid="_x0000_s17281"/>
                  </a:ext>
                  <a:ext uri="{FF2B5EF4-FFF2-40B4-BE49-F238E27FC236}">
                    <a16:creationId xmlns:a16="http://schemas.microsoft.com/office/drawing/2014/main" id="{00000000-0008-0000-0000-000081430000}"/>
                  </a:ext>
                </a:extLst>
              </xdr:cNvPr>
              <xdr:cNvSpPr/>
            </xdr:nvSpPr>
            <xdr:spPr bwMode="auto">
              <a:xfrm>
                <a:off x="9751203" y="1283538"/>
                <a:ext cx="161923"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82" name="BottomSide" descr="Sides" hidden="1">
                <a:extLst>
                  <a:ext uri="{63B3BB69-23CF-44E3-9099-C40C66FF867C}">
                    <a14:compatExt spid="_x0000_s17282"/>
                  </a:ext>
                  <a:ext uri="{FF2B5EF4-FFF2-40B4-BE49-F238E27FC236}">
                    <a16:creationId xmlns:a16="http://schemas.microsoft.com/office/drawing/2014/main" id="{00000000-0008-0000-0000-000082430000}"/>
                  </a:ext>
                </a:extLst>
              </xdr:cNvPr>
              <xdr:cNvSpPr/>
            </xdr:nvSpPr>
            <xdr:spPr bwMode="auto">
              <a:xfrm>
                <a:off x="9956229" y="1283538"/>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7</xdr:row>
          <xdr:rowOff>0</xdr:rowOff>
        </xdr:from>
        <xdr:to>
          <xdr:col>19</xdr:col>
          <xdr:colOff>628650</xdr:colOff>
          <xdr:row>7</xdr:row>
          <xdr:rowOff>171450</xdr:rowOff>
        </xdr:to>
        <xdr:grpSp>
          <xdr:nvGrpSpPr>
            <xdr:cNvPr id="53546" name="Group 17">
              <a:extLst>
                <a:ext uri="{FF2B5EF4-FFF2-40B4-BE49-F238E27FC236}">
                  <a16:creationId xmlns:a16="http://schemas.microsoft.com/office/drawing/2014/main" id="{00000000-0008-0000-0000-00002AD10000}"/>
                </a:ext>
              </a:extLst>
            </xdr:cNvPr>
            <xdr:cNvGrpSpPr>
              <a:grpSpLocks/>
            </xdr:cNvGrpSpPr>
          </xdr:nvGrpSpPr>
          <xdr:grpSpPr bwMode="auto">
            <a:xfrm>
              <a:off x="12498918" y="1460500"/>
              <a:ext cx="628660" cy="171450"/>
              <a:chOff x="9794897" y="1273175"/>
              <a:chExt cx="746094" cy="149225"/>
            </a:xfrm>
          </xdr:grpSpPr>
          <xdr:sp macro="" textlink="">
            <xdr:nvSpPr>
              <xdr:cNvPr id="17289" name="LeftSide" descr="Sides" hidden="1">
                <a:extLst>
                  <a:ext uri="{63B3BB69-23CF-44E3-9099-C40C66FF867C}">
                    <a14:compatExt spid="_x0000_s17289"/>
                  </a:ext>
                  <a:ext uri="{FF2B5EF4-FFF2-40B4-BE49-F238E27FC236}">
                    <a16:creationId xmlns:a16="http://schemas.microsoft.com/office/drawing/2014/main" id="{00000000-0008-0000-0000-000089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0" name="RightSide" descr="Sides" hidden="1">
                <a:extLst>
                  <a:ext uri="{63B3BB69-23CF-44E3-9099-C40C66FF867C}">
                    <a14:compatExt spid="_x0000_s17290"/>
                  </a:ext>
                  <a:ext uri="{FF2B5EF4-FFF2-40B4-BE49-F238E27FC236}">
                    <a16:creationId xmlns:a16="http://schemas.microsoft.com/office/drawing/2014/main" id="{00000000-0008-0000-0000-00008A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1" name="TopSide" descr="Sides" hidden="1">
                <a:extLst>
                  <a:ext uri="{63B3BB69-23CF-44E3-9099-C40C66FF867C}">
                    <a14:compatExt spid="_x0000_s17291"/>
                  </a:ext>
                  <a:ext uri="{FF2B5EF4-FFF2-40B4-BE49-F238E27FC236}">
                    <a16:creationId xmlns:a16="http://schemas.microsoft.com/office/drawing/2014/main" id="{00000000-0008-0000-0000-00008B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2" name="BottomSide" descr="Sides" hidden="1">
                <a:extLst>
                  <a:ext uri="{63B3BB69-23CF-44E3-9099-C40C66FF867C}">
                    <a14:compatExt spid="_x0000_s17292"/>
                  </a:ext>
                  <a:ext uri="{FF2B5EF4-FFF2-40B4-BE49-F238E27FC236}">
                    <a16:creationId xmlns:a16="http://schemas.microsoft.com/office/drawing/2014/main" id="{00000000-0008-0000-0000-00008C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8</xdr:row>
          <xdr:rowOff>9525</xdr:rowOff>
        </xdr:from>
        <xdr:to>
          <xdr:col>19</xdr:col>
          <xdr:colOff>628650</xdr:colOff>
          <xdr:row>8</xdr:row>
          <xdr:rowOff>171450</xdr:rowOff>
        </xdr:to>
        <xdr:grpSp>
          <xdr:nvGrpSpPr>
            <xdr:cNvPr id="53547" name="Group 22">
              <a:extLst>
                <a:ext uri="{FF2B5EF4-FFF2-40B4-BE49-F238E27FC236}">
                  <a16:creationId xmlns:a16="http://schemas.microsoft.com/office/drawing/2014/main" id="{00000000-0008-0000-0000-00002BD10000}"/>
                </a:ext>
              </a:extLst>
            </xdr:cNvPr>
            <xdr:cNvGrpSpPr>
              <a:grpSpLocks/>
            </xdr:cNvGrpSpPr>
          </xdr:nvGrpSpPr>
          <xdr:grpSpPr bwMode="auto">
            <a:xfrm>
              <a:off x="12498918" y="1671108"/>
              <a:ext cx="628660" cy="161925"/>
              <a:chOff x="9794897" y="1273175"/>
              <a:chExt cx="746094" cy="149225"/>
            </a:xfrm>
          </xdr:grpSpPr>
          <xdr:sp macro="" textlink="">
            <xdr:nvSpPr>
              <xdr:cNvPr id="17293" name="LeftSide" descr="Sides" hidden="1">
                <a:extLst>
                  <a:ext uri="{63B3BB69-23CF-44E3-9099-C40C66FF867C}">
                    <a14:compatExt spid="_x0000_s17293"/>
                  </a:ext>
                  <a:ext uri="{FF2B5EF4-FFF2-40B4-BE49-F238E27FC236}">
                    <a16:creationId xmlns:a16="http://schemas.microsoft.com/office/drawing/2014/main" id="{00000000-0008-0000-0000-00008D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4" name="RightSide" descr="Sides" hidden="1">
                <a:extLst>
                  <a:ext uri="{63B3BB69-23CF-44E3-9099-C40C66FF867C}">
                    <a14:compatExt spid="_x0000_s17294"/>
                  </a:ext>
                  <a:ext uri="{FF2B5EF4-FFF2-40B4-BE49-F238E27FC236}">
                    <a16:creationId xmlns:a16="http://schemas.microsoft.com/office/drawing/2014/main" id="{00000000-0008-0000-0000-00008E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5" name="TopSide" descr="Sides" hidden="1">
                <a:extLst>
                  <a:ext uri="{63B3BB69-23CF-44E3-9099-C40C66FF867C}">
                    <a14:compatExt spid="_x0000_s17295"/>
                  </a:ext>
                  <a:ext uri="{FF2B5EF4-FFF2-40B4-BE49-F238E27FC236}">
                    <a16:creationId xmlns:a16="http://schemas.microsoft.com/office/drawing/2014/main" id="{00000000-0008-0000-0000-00008F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6" name="BottomSide" descr="Sides" hidden="1">
                <a:extLst>
                  <a:ext uri="{63B3BB69-23CF-44E3-9099-C40C66FF867C}">
                    <a14:compatExt spid="_x0000_s17296"/>
                  </a:ext>
                  <a:ext uri="{FF2B5EF4-FFF2-40B4-BE49-F238E27FC236}">
                    <a16:creationId xmlns:a16="http://schemas.microsoft.com/office/drawing/2014/main" id="{00000000-0008-0000-0000-000090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9</xdr:row>
          <xdr:rowOff>9525</xdr:rowOff>
        </xdr:from>
        <xdr:to>
          <xdr:col>19</xdr:col>
          <xdr:colOff>628650</xdr:colOff>
          <xdr:row>9</xdr:row>
          <xdr:rowOff>171450</xdr:rowOff>
        </xdr:to>
        <xdr:grpSp>
          <xdr:nvGrpSpPr>
            <xdr:cNvPr id="53548" name="Group 27">
              <a:extLst>
                <a:ext uri="{FF2B5EF4-FFF2-40B4-BE49-F238E27FC236}">
                  <a16:creationId xmlns:a16="http://schemas.microsoft.com/office/drawing/2014/main" id="{00000000-0008-0000-0000-00002CD10000}"/>
                </a:ext>
              </a:extLst>
            </xdr:cNvPr>
            <xdr:cNvGrpSpPr>
              <a:grpSpLocks/>
            </xdr:cNvGrpSpPr>
          </xdr:nvGrpSpPr>
          <xdr:grpSpPr bwMode="auto">
            <a:xfrm>
              <a:off x="12498918" y="1872192"/>
              <a:ext cx="628660" cy="161925"/>
              <a:chOff x="9794897" y="1273175"/>
              <a:chExt cx="746094" cy="149225"/>
            </a:xfrm>
          </xdr:grpSpPr>
          <xdr:sp macro="" textlink="">
            <xdr:nvSpPr>
              <xdr:cNvPr id="17297" name="LeftSide" descr="Sides" hidden="1">
                <a:extLst>
                  <a:ext uri="{63B3BB69-23CF-44E3-9099-C40C66FF867C}">
                    <a14:compatExt spid="_x0000_s17297"/>
                  </a:ext>
                  <a:ext uri="{FF2B5EF4-FFF2-40B4-BE49-F238E27FC236}">
                    <a16:creationId xmlns:a16="http://schemas.microsoft.com/office/drawing/2014/main" id="{00000000-0008-0000-0000-000091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8" name="RightSide" descr="Sides" hidden="1">
                <a:extLst>
                  <a:ext uri="{63B3BB69-23CF-44E3-9099-C40C66FF867C}">
                    <a14:compatExt spid="_x0000_s17298"/>
                  </a:ext>
                  <a:ext uri="{FF2B5EF4-FFF2-40B4-BE49-F238E27FC236}">
                    <a16:creationId xmlns:a16="http://schemas.microsoft.com/office/drawing/2014/main" id="{00000000-0008-0000-0000-000092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299" name="TopSide" descr="Sides" hidden="1">
                <a:extLst>
                  <a:ext uri="{63B3BB69-23CF-44E3-9099-C40C66FF867C}">
                    <a14:compatExt spid="_x0000_s17299"/>
                  </a:ext>
                  <a:ext uri="{FF2B5EF4-FFF2-40B4-BE49-F238E27FC236}">
                    <a16:creationId xmlns:a16="http://schemas.microsoft.com/office/drawing/2014/main" id="{00000000-0008-0000-0000-000093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0" name="BottomSide" descr="Sides" hidden="1">
                <a:extLst>
                  <a:ext uri="{63B3BB69-23CF-44E3-9099-C40C66FF867C}">
                    <a14:compatExt spid="_x0000_s17300"/>
                  </a:ext>
                  <a:ext uri="{FF2B5EF4-FFF2-40B4-BE49-F238E27FC236}">
                    <a16:creationId xmlns:a16="http://schemas.microsoft.com/office/drawing/2014/main" id="{00000000-0008-0000-0000-000094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10</xdr:row>
          <xdr:rowOff>9525</xdr:rowOff>
        </xdr:from>
        <xdr:to>
          <xdr:col>19</xdr:col>
          <xdr:colOff>628650</xdr:colOff>
          <xdr:row>10</xdr:row>
          <xdr:rowOff>180975</xdr:rowOff>
        </xdr:to>
        <xdr:grpSp>
          <xdr:nvGrpSpPr>
            <xdr:cNvPr id="53549" name="Group 32">
              <a:extLst>
                <a:ext uri="{FF2B5EF4-FFF2-40B4-BE49-F238E27FC236}">
                  <a16:creationId xmlns:a16="http://schemas.microsoft.com/office/drawing/2014/main" id="{00000000-0008-0000-0000-00002DD10000}"/>
                </a:ext>
              </a:extLst>
            </xdr:cNvPr>
            <xdr:cNvGrpSpPr>
              <a:grpSpLocks/>
            </xdr:cNvGrpSpPr>
          </xdr:nvGrpSpPr>
          <xdr:grpSpPr bwMode="auto">
            <a:xfrm>
              <a:off x="12498918" y="2073275"/>
              <a:ext cx="628660" cy="171450"/>
              <a:chOff x="9794897" y="1273175"/>
              <a:chExt cx="746094" cy="149225"/>
            </a:xfrm>
          </xdr:grpSpPr>
          <xdr:sp macro="" textlink="">
            <xdr:nvSpPr>
              <xdr:cNvPr id="17301" name="LeftSide" descr="Sides" hidden="1">
                <a:extLst>
                  <a:ext uri="{63B3BB69-23CF-44E3-9099-C40C66FF867C}">
                    <a14:compatExt spid="_x0000_s17301"/>
                  </a:ext>
                  <a:ext uri="{FF2B5EF4-FFF2-40B4-BE49-F238E27FC236}">
                    <a16:creationId xmlns:a16="http://schemas.microsoft.com/office/drawing/2014/main" id="{00000000-0008-0000-0000-000095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2" name="RightSide" descr="Sides" hidden="1">
                <a:extLst>
                  <a:ext uri="{63B3BB69-23CF-44E3-9099-C40C66FF867C}">
                    <a14:compatExt spid="_x0000_s17302"/>
                  </a:ext>
                  <a:ext uri="{FF2B5EF4-FFF2-40B4-BE49-F238E27FC236}">
                    <a16:creationId xmlns:a16="http://schemas.microsoft.com/office/drawing/2014/main" id="{00000000-0008-0000-0000-000096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3" name="TopSide" descr="Sides" hidden="1">
                <a:extLst>
                  <a:ext uri="{63B3BB69-23CF-44E3-9099-C40C66FF867C}">
                    <a14:compatExt spid="_x0000_s17303"/>
                  </a:ext>
                  <a:ext uri="{FF2B5EF4-FFF2-40B4-BE49-F238E27FC236}">
                    <a16:creationId xmlns:a16="http://schemas.microsoft.com/office/drawing/2014/main" id="{00000000-0008-0000-0000-000097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4" name="BottomSide" descr="Sides" hidden="1">
                <a:extLst>
                  <a:ext uri="{63B3BB69-23CF-44E3-9099-C40C66FF867C}">
                    <a14:compatExt spid="_x0000_s17304"/>
                  </a:ext>
                  <a:ext uri="{FF2B5EF4-FFF2-40B4-BE49-F238E27FC236}">
                    <a16:creationId xmlns:a16="http://schemas.microsoft.com/office/drawing/2014/main" id="{00000000-0008-0000-0000-000098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11</xdr:row>
          <xdr:rowOff>9525</xdr:rowOff>
        </xdr:from>
        <xdr:to>
          <xdr:col>19</xdr:col>
          <xdr:colOff>628650</xdr:colOff>
          <xdr:row>11</xdr:row>
          <xdr:rowOff>180975</xdr:rowOff>
        </xdr:to>
        <xdr:grpSp>
          <xdr:nvGrpSpPr>
            <xdr:cNvPr id="53550" name="Group 37">
              <a:extLst>
                <a:ext uri="{FF2B5EF4-FFF2-40B4-BE49-F238E27FC236}">
                  <a16:creationId xmlns:a16="http://schemas.microsoft.com/office/drawing/2014/main" id="{00000000-0008-0000-0000-00002ED10000}"/>
                </a:ext>
              </a:extLst>
            </xdr:cNvPr>
            <xdr:cNvGrpSpPr>
              <a:grpSpLocks/>
            </xdr:cNvGrpSpPr>
          </xdr:nvGrpSpPr>
          <xdr:grpSpPr bwMode="auto">
            <a:xfrm>
              <a:off x="12498918" y="2274358"/>
              <a:ext cx="628660" cy="171450"/>
              <a:chOff x="9794897" y="1273175"/>
              <a:chExt cx="746094" cy="149225"/>
            </a:xfrm>
          </xdr:grpSpPr>
          <xdr:sp macro="" textlink="">
            <xdr:nvSpPr>
              <xdr:cNvPr id="17305" name="LeftSide" descr="Sides" hidden="1">
                <a:extLst>
                  <a:ext uri="{63B3BB69-23CF-44E3-9099-C40C66FF867C}">
                    <a14:compatExt spid="_x0000_s17305"/>
                  </a:ext>
                  <a:ext uri="{FF2B5EF4-FFF2-40B4-BE49-F238E27FC236}">
                    <a16:creationId xmlns:a16="http://schemas.microsoft.com/office/drawing/2014/main" id="{00000000-0008-0000-0000-000099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6" name="RightSide" descr="Sides" hidden="1">
                <a:extLst>
                  <a:ext uri="{63B3BB69-23CF-44E3-9099-C40C66FF867C}">
                    <a14:compatExt spid="_x0000_s17306"/>
                  </a:ext>
                  <a:ext uri="{FF2B5EF4-FFF2-40B4-BE49-F238E27FC236}">
                    <a16:creationId xmlns:a16="http://schemas.microsoft.com/office/drawing/2014/main" id="{00000000-0008-0000-0000-00009A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7" name="TopSide" descr="Sides" hidden="1">
                <a:extLst>
                  <a:ext uri="{63B3BB69-23CF-44E3-9099-C40C66FF867C}">
                    <a14:compatExt spid="_x0000_s17307"/>
                  </a:ext>
                  <a:ext uri="{FF2B5EF4-FFF2-40B4-BE49-F238E27FC236}">
                    <a16:creationId xmlns:a16="http://schemas.microsoft.com/office/drawing/2014/main" id="{00000000-0008-0000-0000-00009B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08" name="BottomSide" descr="Sides" hidden="1">
                <a:extLst>
                  <a:ext uri="{63B3BB69-23CF-44E3-9099-C40C66FF867C}">
                    <a14:compatExt spid="_x0000_s17308"/>
                  </a:ext>
                  <a:ext uri="{FF2B5EF4-FFF2-40B4-BE49-F238E27FC236}">
                    <a16:creationId xmlns:a16="http://schemas.microsoft.com/office/drawing/2014/main" id="{00000000-0008-0000-0000-00009C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12</xdr:row>
          <xdr:rowOff>9525</xdr:rowOff>
        </xdr:from>
        <xdr:to>
          <xdr:col>19</xdr:col>
          <xdr:colOff>628650</xdr:colOff>
          <xdr:row>12</xdr:row>
          <xdr:rowOff>180975</xdr:rowOff>
        </xdr:to>
        <xdr:grpSp>
          <xdr:nvGrpSpPr>
            <xdr:cNvPr id="53551" name="Group 42">
              <a:extLst>
                <a:ext uri="{FF2B5EF4-FFF2-40B4-BE49-F238E27FC236}">
                  <a16:creationId xmlns:a16="http://schemas.microsoft.com/office/drawing/2014/main" id="{00000000-0008-0000-0000-00002FD10000}"/>
                </a:ext>
              </a:extLst>
            </xdr:cNvPr>
            <xdr:cNvGrpSpPr>
              <a:grpSpLocks/>
            </xdr:cNvGrpSpPr>
          </xdr:nvGrpSpPr>
          <xdr:grpSpPr bwMode="auto">
            <a:xfrm>
              <a:off x="12498918" y="2475442"/>
              <a:ext cx="628660" cy="171450"/>
              <a:chOff x="9794897" y="1273175"/>
              <a:chExt cx="746094" cy="149225"/>
            </a:xfrm>
          </xdr:grpSpPr>
          <xdr:sp macro="" textlink="">
            <xdr:nvSpPr>
              <xdr:cNvPr id="17309" name="LeftSide" descr="Sides" hidden="1">
                <a:extLst>
                  <a:ext uri="{63B3BB69-23CF-44E3-9099-C40C66FF867C}">
                    <a14:compatExt spid="_x0000_s17309"/>
                  </a:ext>
                  <a:ext uri="{FF2B5EF4-FFF2-40B4-BE49-F238E27FC236}">
                    <a16:creationId xmlns:a16="http://schemas.microsoft.com/office/drawing/2014/main" id="{00000000-0008-0000-0000-00009D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0" name="RightSide" descr="Sides" hidden="1">
                <a:extLst>
                  <a:ext uri="{63B3BB69-23CF-44E3-9099-C40C66FF867C}">
                    <a14:compatExt spid="_x0000_s17310"/>
                  </a:ext>
                  <a:ext uri="{FF2B5EF4-FFF2-40B4-BE49-F238E27FC236}">
                    <a16:creationId xmlns:a16="http://schemas.microsoft.com/office/drawing/2014/main" id="{00000000-0008-0000-0000-00009E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1" name="TopSide" descr="Sides" hidden="1">
                <a:extLst>
                  <a:ext uri="{63B3BB69-23CF-44E3-9099-C40C66FF867C}">
                    <a14:compatExt spid="_x0000_s17311"/>
                  </a:ext>
                  <a:ext uri="{FF2B5EF4-FFF2-40B4-BE49-F238E27FC236}">
                    <a16:creationId xmlns:a16="http://schemas.microsoft.com/office/drawing/2014/main" id="{00000000-0008-0000-0000-00009F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2" name="BottomSide" descr="Sides" hidden="1">
                <a:extLst>
                  <a:ext uri="{63B3BB69-23CF-44E3-9099-C40C66FF867C}">
                    <a14:compatExt spid="_x0000_s17312"/>
                  </a:ext>
                  <a:ext uri="{FF2B5EF4-FFF2-40B4-BE49-F238E27FC236}">
                    <a16:creationId xmlns:a16="http://schemas.microsoft.com/office/drawing/2014/main" id="{00000000-0008-0000-0000-0000A0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13</xdr:row>
          <xdr:rowOff>9525</xdr:rowOff>
        </xdr:from>
        <xdr:to>
          <xdr:col>19</xdr:col>
          <xdr:colOff>628650</xdr:colOff>
          <xdr:row>13</xdr:row>
          <xdr:rowOff>180975</xdr:rowOff>
        </xdr:to>
        <xdr:grpSp>
          <xdr:nvGrpSpPr>
            <xdr:cNvPr id="53552" name="Group 47">
              <a:extLst>
                <a:ext uri="{FF2B5EF4-FFF2-40B4-BE49-F238E27FC236}">
                  <a16:creationId xmlns:a16="http://schemas.microsoft.com/office/drawing/2014/main" id="{00000000-0008-0000-0000-000030D10000}"/>
                </a:ext>
              </a:extLst>
            </xdr:cNvPr>
            <xdr:cNvGrpSpPr>
              <a:grpSpLocks/>
            </xdr:cNvGrpSpPr>
          </xdr:nvGrpSpPr>
          <xdr:grpSpPr bwMode="auto">
            <a:xfrm>
              <a:off x="12498918" y="2676525"/>
              <a:ext cx="628660" cy="171450"/>
              <a:chOff x="9794897" y="1273175"/>
              <a:chExt cx="746094" cy="149225"/>
            </a:xfrm>
          </xdr:grpSpPr>
          <xdr:sp macro="" textlink="">
            <xdr:nvSpPr>
              <xdr:cNvPr id="17313" name="LeftSide" descr="Sides" hidden="1">
                <a:extLst>
                  <a:ext uri="{63B3BB69-23CF-44E3-9099-C40C66FF867C}">
                    <a14:compatExt spid="_x0000_s17313"/>
                  </a:ext>
                  <a:ext uri="{FF2B5EF4-FFF2-40B4-BE49-F238E27FC236}">
                    <a16:creationId xmlns:a16="http://schemas.microsoft.com/office/drawing/2014/main" id="{00000000-0008-0000-0000-0000A1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4" name="RightSide" descr="Sides" hidden="1">
                <a:extLst>
                  <a:ext uri="{63B3BB69-23CF-44E3-9099-C40C66FF867C}">
                    <a14:compatExt spid="_x0000_s17314"/>
                  </a:ext>
                  <a:ext uri="{FF2B5EF4-FFF2-40B4-BE49-F238E27FC236}">
                    <a16:creationId xmlns:a16="http://schemas.microsoft.com/office/drawing/2014/main" id="{00000000-0008-0000-0000-0000A2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5" name="TopSide" descr="Sides" hidden="1">
                <a:extLst>
                  <a:ext uri="{63B3BB69-23CF-44E3-9099-C40C66FF867C}">
                    <a14:compatExt spid="_x0000_s17315"/>
                  </a:ext>
                  <a:ext uri="{FF2B5EF4-FFF2-40B4-BE49-F238E27FC236}">
                    <a16:creationId xmlns:a16="http://schemas.microsoft.com/office/drawing/2014/main" id="{00000000-0008-0000-0000-0000A3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6" name="BottomSide" descr="Sides" hidden="1">
                <a:extLst>
                  <a:ext uri="{63B3BB69-23CF-44E3-9099-C40C66FF867C}">
                    <a14:compatExt spid="_x0000_s17316"/>
                  </a:ext>
                  <a:ext uri="{FF2B5EF4-FFF2-40B4-BE49-F238E27FC236}">
                    <a16:creationId xmlns:a16="http://schemas.microsoft.com/office/drawing/2014/main" id="{00000000-0008-0000-0000-0000A4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14</xdr:row>
          <xdr:rowOff>9525</xdr:rowOff>
        </xdr:from>
        <xdr:to>
          <xdr:col>19</xdr:col>
          <xdr:colOff>628650</xdr:colOff>
          <xdr:row>14</xdr:row>
          <xdr:rowOff>180975</xdr:rowOff>
        </xdr:to>
        <xdr:grpSp>
          <xdr:nvGrpSpPr>
            <xdr:cNvPr id="53553" name="Group 52">
              <a:extLst>
                <a:ext uri="{FF2B5EF4-FFF2-40B4-BE49-F238E27FC236}">
                  <a16:creationId xmlns:a16="http://schemas.microsoft.com/office/drawing/2014/main" id="{00000000-0008-0000-0000-000031D10000}"/>
                </a:ext>
              </a:extLst>
            </xdr:cNvPr>
            <xdr:cNvGrpSpPr>
              <a:grpSpLocks/>
            </xdr:cNvGrpSpPr>
          </xdr:nvGrpSpPr>
          <xdr:grpSpPr bwMode="auto">
            <a:xfrm>
              <a:off x="12498918" y="2877608"/>
              <a:ext cx="628660" cy="171450"/>
              <a:chOff x="9794897" y="1273175"/>
              <a:chExt cx="746094" cy="149225"/>
            </a:xfrm>
          </xdr:grpSpPr>
          <xdr:sp macro="" textlink="">
            <xdr:nvSpPr>
              <xdr:cNvPr id="17317" name="LeftSide" descr="Sides" hidden="1">
                <a:extLst>
                  <a:ext uri="{63B3BB69-23CF-44E3-9099-C40C66FF867C}">
                    <a14:compatExt spid="_x0000_s17317"/>
                  </a:ext>
                  <a:ext uri="{FF2B5EF4-FFF2-40B4-BE49-F238E27FC236}">
                    <a16:creationId xmlns:a16="http://schemas.microsoft.com/office/drawing/2014/main" id="{00000000-0008-0000-0000-0000A5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8" name="RightSide" descr="Sides" hidden="1">
                <a:extLst>
                  <a:ext uri="{63B3BB69-23CF-44E3-9099-C40C66FF867C}">
                    <a14:compatExt spid="_x0000_s17318"/>
                  </a:ext>
                  <a:ext uri="{FF2B5EF4-FFF2-40B4-BE49-F238E27FC236}">
                    <a16:creationId xmlns:a16="http://schemas.microsoft.com/office/drawing/2014/main" id="{00000000-0008-0000-0000-0000A6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19" name="TopSide" descr="Sides" hidden="1">
                <a:extLst>
                  <a:ext uri="{63B3BB69-23CF-44E3-9099-C40C66FF867C}">
                    <a14:compatExt spid="_x0000_s17319"/>
                  </a:ext>
                  <a:ext uri="{FF2B5EF4-FFF2-40B4-BE49-F238E27FC236}">
                    <a16:creationId xmlns:a16="http://schemas.microsoft.com/office/drawing/2014/main" id="{00000000-0008-0000-0000-0000A7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0" name="BottomSide" descr="Sides" hidden="1">
                <a:extLst>
                  <a:ext uri="{63B3BB69-23CF-44E3-9099-C40C66FF867C}">
                    <a14:compatExt spid="_x0000_s17320"/>
                  </a:ext>
                  <a:ext uri="{FF2B5EF4-FFF2-40B4-BE49-F238E27FC236}">
                    <a16:creationId xmlns:a16="http://schemas.microsoft.com/office/drawing/2014/main" id="{00000000-0008-0000-0000-0000A8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15</xdr:row>
          <xdr:rowOff>19050</xdr:rowOff>
        </xdr:from>
        <xdr:to>
          <xdr:col>19</xdr:col>
          <xdr:colOff>628650</xdr:colOff>
          <xdr:row>15</xdr:row>
          <xdr:rowOff>180975</xdr:rowOff>
        </xdr:to>
        <xdr:grpSp>
          <xdr:nvGrpSpPr>
            <xdr:cNvPr id="53554" name="Group 57">
              <a:extLst>
                <a:ext uri="{FF2B5EF4-FFF2-40B4-BE49-F238E27FC236}">
                  <a16:creationId xmlns:a16="http://schemas.microsoft.com/office/drawing/2014/main" id="{00000000-0008-0000-0000-000032D10000}"/>
                </a:ext>
              </a:extLst>
            </xdr:cNvPr>
            <xdr:cNvGrpSpPr>
              <a:grpSpLocks/>
            </xdr:cNvGrpSpPr>
          </xdr:nvGrpSpPr>
          <xdr:grpSpPr bwMode="auto">
            <a:xfrm>
              <a:off x="12498918" y="3088217"/>
              <a:ext cx="628660" cy="161925"/>
              <a:chOff x="9794897" y="1273175"/>
              <a:chExt cx="746094" cy="149225"/>
            </a:xfrm>
          </xdr:grpSpPr>
          <xdr:sp macro="" textlink="">
            <xdr:nvSpPr>
              <xdr:cNvPr id="17321" name="LeftSide" descr="Sides" hidden="1">
                <a:extLst>
                  <a:ext uri="{63B3BB69-23CF-44E3-9099-C40C66FF867C}">
                    <a14:compatExt spid="_x0000_s17321"/>
                  </a:ext>
                  <a:ext uri="{FF2B5EF4-FFF2-40B4-BE49-F238E27FC236}">
                    <a16:creationId xmlns:a16="http://schemas.microsoft.com/office/drawing/2014/main" id="{00000000-0008-0000-0000-0000A9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2" name="RightSide" descr="Sides" hidden="1">
                <a:extLst>
                  <a:ext uri="{63B3BB69-23CF-44E3-9099-C40C66FF867C}">
                    <a14:compatExt spid="_x0000_s17322"/>
                  </a:ext>
                  <a:ext uri="{FF2B5EF4-FFF2-40B4-BE49-F238E27FC236}">
                    <a16:creationId xmlns:a16="http://schemas.microsoft.com/office/drawing/2014/main" id="{00000000-0008-0000-0000-0000AA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3" name="TopSide" descr="Sides" hidden="1">
                <a:extLst>
                  <a:ext uri="{63B3BB69-23CF-44E3-9099-C40C66FF867C}">
                    <a14:compatExt spid="_x0000_s17323"/>
                  </a:ext>
                  <a:ext uri="{FF2B5EF4-FFF2-40B4-BE49-F238E27FC236}">
                    <a16:creationId xmlns:a16="http://schemas.microsoft.com/office/drawing/2014/main" id="{00000000-0008-0000-0000-0000AB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4" name="BottomSide" descr="Sides" hidden="1">
                <a:extLst>
                  <a:ext uri="{63B3BB69-23CF-44E3-9099-C40C66FF867C}">
                    <a14:compatExt spid="_x0000_s17324"/>
                  </a:ext>
                  <a:ext uri="{FF2B5EF4-FFF2-40B4-BE49-F238E27FC236}">
                    <a16:creationId xmlns:a16="http://schemas.microsoft.com/office/drawing/2014/main" id="{00000000-0008-0000-0000-0000AC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16</xdr:row>
          <xdr:rowOff>19050</xdr:rowOff>
        </xdr:from>
        <xdr:to>
          <xdr:col>19</xdr:col>
          <xdr:colOff>628650</xdr:colOff>
          <xdr:row>16</xdr:row>
          <xdr:rowOff>180975</xdr:rowOff>
        </xdr:to>
        <xdr:grpSp>
          <xdr:nvGrpSpPr>
            <xdr:cNvPr id="53555" name="Group 62">
              <a:extLst>
                <a:ext uri="{FF2B5EF4-FFF2-40B4-BE49-F238E27FC236}">
                  <a16:creationId xmlns:a16="http://schemas.microsoft.com/office/drawing/2014/main" id="{00000000-0008-0000-0000-000033D10000}"/>
                </a:ext>
              </a:extLst>
            </xdr:cNvPr>
            <xdr:cNvGrpSpPr>
              <a:grpSpLocks/>
            </xdr:cNvGrpSpPr>
          </xdr:nvGrpSpPr>
          <xdr:grpSpPr bwMode="auto">
            <a:xfrm>
              <a:off x="12498918" y="3289300"/>
              <a:ext cx="628660" cy="161925"/>
              <a:chOff x="9794897" y="1273175"/>
              <a:chExt cx="746094" cy="149225"/>
            </a:xfrm>
          </xdr:grpSpPr>
          <xdr:sp macro="" textlink="">
            <xdr:nvSpPr>
              <xdr:cNvPr id="17325" name="LeftSide" descr="Sides" hidden="1">
                <a:extLst>
                  <a:ext uri="{63B3BB69-23CF-44E3-9099-C40C66FF867C}">
                    <a14:compatExt spid="_x0000_s17325"/>
                  </a:ext>
                  <a:ext uri="{FF2B5EF4-FFF2-40B4-BE49-F238E27FC236}">
                    <a16:creationId xmlns:a16="http://schemas.microsoft.com/office/drawing/2014/main" id="{00000000-0008-0000-0000-0000AD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6" name="RightSide" descr="Sides" hidden="1">
                <a:extLst>
                  <a:ext uri="{63B3BB69-23CF-44E3-9099-C40C66FF867C}">
                    <a14:compatExt spid="_x0000_s17326"/>
                  </a:ext>
                  <a:ext uri="{FF2B5EF4-FFF2-40B4-BE49-F238E27FC236}">
                    <a16:creationId xmlns:a16="http://schemas.microsoft.com/office/drawing/2014/main" id="{00000000-0008-0000-0000-0000AE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7" name="TopSide" descr="Sides" hidden="1">
                <a:extLst>
                  <a:ext uri="{63B3BB69-23CF-44E3-9099-C40C66FF867C}">
                    <a14:compatExt spid="_x0000_s17327"/>
                  </a:ext>
                  <a:ext uri="{FF2B5EF4-FFF2-40B4-BE49-F238E27FC236}">
                    <a16:creationId xmlns:a16="http://schemas.microsoft.com/office/drawing/2014/main" id="{00000000-0008-0000-0000-0000AF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28" name="BottomSide" descr="Sides" hidden="1">
                <a:extLst>
                  <a:ext uri="{63B3BB69-23CF-44E3-9099-C40C66FF867C}">
                    <a14:compatExt spid="_x0000_s17328"/>
                  </a:ext>
                  <a:ext uri="{FF2B5EF4-FFF2-40B4-BE49-F238E27FC236}">
                    <a16:creationId xmlns:a16="http://schemas.microsoft.com/office/drawing/2014/main" id="{00000000-0008-0000-0000-0000B0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17</xdr:row>
          <xdr:rowOff>19050</xdr:rowOff>
        </xdr:from>
        <xdr:to>
          <xdr:col>19</xdr:col>
          <xdr:colOff>628650</xdr:colOff>
          <xdr:row>17</xdr:row>
          <xdr:rowOff>190500</xdr:rowOff>
        </xdr:to>
        <xdr:grpSp>
          <xdr:nvGrpSpPr>
            <xdr:cNvPr id="53556" name="Group 67">
              <a:extLst>
                <a:ext uri="{FF2B5EF4-FFF2-40B4-BE49-F238E27FC236}">
                  <a16:creationId xmlns:a16="http://schemas.microsoft.com/office/drawing/2014/main" id="{00000000-0008-0000-0000-000034D10000}"/>
                </a:ext>
              </a:extLst>
            </xdr:cNvPr>
            <xdr:cNvGrpSpPr>
              <a:grpSpLocks/>
            </xdr:cNvGrpSpPr>
          </xdr:nvGrpSpPr>
          <xdr:grpSpPr bwMode="auto">
            <a:xfrm>
              <a:off x="12498918" y="3490383"/>
              <a:ext cx="628660" cy="171450"/>
              <a:chOff x="9794897" y="1273175"/>
              <a:chExt cx="746094" cy="149225"/>
            </a:xfrm>
          </xdr:grpSpPr>
          <xdr:sp macro="" textlink="">
            <xdr:nvSpPr>
              <xdr:cNvPr id="17329" name="LeftSide" descr="Sides" hidden="1">
                <a:extLst>
                  <a:ext uri="{63B3BB69-23CF-44E3-9099-C40C66FF867C}">
                    <a14:compatExt spid="_x0000_s17329"/>
                  </a:ext>
                  <a:ext uri="{FF2B5EF4-FFF2-40B4-BE49-F238E27FC236}">
                    <a16:creationId xmlns:a16="http://schemas.microsoft.com/office/drawing/2014/main" id="{00000000-0008-0000-0000-0000B1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0" name="RightSide" descr="Sides" hidden="1">
                <a:extLst>
                  <a:ext uri="{63B3BB69-23CF-44E3-9099-C40C66FF867C}">
                    <a14:compatExt spid="_x0000_s17330"/>
                  </a:ext>
                  <a:ext uri="{FF2B5EF4-FFF2-40B4-BE49-F238E27FC236}">
                    <a16:creationId xmlns:a16="http://schemas.microsoft.com/office/drawing/2014/main" id="{00000000-0008-0000-0000-0000B2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1" name="TopSide" descr="Sides" hidden="1">
                <a:extLst>
                  <a:ext uri="{63B3BB69-23CF-44E3-9099-C40C66FF867C}">
                    <a14:compatExt spid="_x0000_s17331"/>
                  </a:ext>
                  <a:ext uri="{FF2B5EF4-FFF2-40B4-BE49-F238E27FC236}">
                    <a16:creationId xmlns:a16="http://schemas.microsoft.com/office/drawing/2014/main" id="{00000000-0008-0000-0000-0000B3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2" name="BottomSide" descr="Sides" hidden="1">
                <a:extLst>
                  <a:ext uri="{63B3BB69-23CF-44E3-9099-C40C66FF867C}">
                    <a14:compatExt spid="_x0000_s17332"/>
                  </a:ext>
                  <a:ext uri="{FF2B5EF4-FFF2-40B4-BE49-F238E27FC236}">
                    <a16:creationId xmlns:a16="http://schemas.microsoft.com/office/drawing/2014/main" id="{00000000-0008-0000-0000-0000B4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18</xdr:row>
          <xdr:rowOff>19050</xdr:rowOff>
        </xdr:from>
        <xdr:to>
          <xdr:col>19</xdr:col>
          <xdr:colOff>628650</xdr:colOff>
          <xdr:row>18</xdr:row>
          <xdr:rowOff>190500</xdr:rowOff>
        </xdr:to>
        <xdr:grpSp>
          <xdr:nvGrpSpPr>
            <xdr:cNvPr id="53557" name="Group 72">
              <a:extLst>
                <a:ext uri="{FF2B5EF4-FFF2-40B4-BE49-F238E27FC236}">
                  <a16:creationId xmlns:a16="http://schemas.microsoft.com/office/drawing/2014/main" id="{00000000-0008-0000-0000-000035D10000}"/>
                </a:ext>
              </a:extLst>
            </xdr:cNvPr>
            <xdr:cNvGrpSpPr>
              <a:grpSpLocks/>
            </xdr:cNvGrpSpPr>
          </xdr:nvGrpSpPr>
          <xdr:grpSpPr bwMode="auto">
            <a:xfrm>
              <a:off x="12498918" y="3691467"/>
              <a:ext cx="628660" cy="171450"/>
              <a:chOff x="9794897" y="1273175"/>
              <a:chExt cx="746094" cy="149225"/>
            </a:xfrm>
          </xdr:grpSpPr>
          <xdr:sp macro="" textlink="">
            <xdr:nvSpPr>
              <xdr:cNvPr id="17333" name="LeftSide" descr="Sides" hidden="1">
                <a:extLst>
                  <a:ext uri="{63B3BB69-23CF-44E3-9099-C40C66FF867C}">
                    <a14:compatExt spid="_x0000_s17333"/>
                  </a:ext>
                  <a:ext uri="{FF2B5EF4-FFF2-40B4-BE49-F238E27FC236}">
                    <a16:creationId xmlns:a16="http://schemas.microsoft.com/office/drawing/2014/main" id="{00000000-0008-0000-0000-0000B5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4" name="RightSide" descr="Sides" hidden="1">
                <a:extLst>
                  <a:ext uri="{63B3BB69-23CF-44E3-9099-C40C66FF867C}">
                    <a14:compatExt spid="_x0000_s17334"/>
                  </a:ext>
                  <a:ext uri="{FF2B5EF4-FFF2-40B4-BE49-F238E27FC236}">
                    <a16:creationId xmlns:a16="http://schemas.microsoft.com/office/drawing/2014/main" id="{00000000-0008-0000-0000-0000B6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5" name="TopSide" descr="Sides" hidden="1">
                <a:extLst>
                  <a:ext uri="{63B3BB69-23CF-44E3-9099-C40C66FF867C}">
                    <a14:compatExt spid="_x0000_s17335"/>
                  </a:ext>
                  <a:ext uri="{FF2B5EF4-FFF2-40B4-BE49-F238E27FC236}">
                    <a16:creationId xmlns:a16="http://schemas.microsoft.com/office/drawing/2014/main" id="{00000000-0008-0000-0000-0000B7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6" name="BottomSide" descr="Sides" hidden="1">
                <a:extLst>
                  <a:ext uri="{63B3BB69-23CF-44E3-9099-C40C66FF867C}">
                    <a14:compatExt spid="_x0000_s17336"/>
                  </a:ext>
                  <a:ext uri="{FF2B5EF4-FFF2-40B4-BE49-F238E27FC236}">
                    <a16:creationId xmlns:a16="http://schemas.microsoft.com/office/drawing/2014/main" id="{00000000-0008-0000-0000-0000B8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19</xdr:row>
          <xdr:rowOff>19050</xdr:rowOff>
        </xdr:from>
        <xdr:to>
          <xdr:col>19</xdr:col>
          <xdr:colOff>628650</xdr:colOff>
          <xdr:row>19</xdr:row>
          <xdr:rowOff>190500</xdr:rowOff>
        </xdr:to>
        <xdr:grpSp>
          <xdr:nvGrpSpPr>
            <xdr:cNvPr id="53558" name="Group 77">
              <a:extLst>
                <a:ext uri="{FF2B5EF4-FFF2-40B4-BE49-F238E27FC236}">
                  <a16:creationId xmlns:a16="http://schemas.microsoft.com/office/drawing/2014/main" id="{00000000-0008-0000-0000-000036D10000}"/>
                </a:ext>
              </a:extLst>
            </xdr:cNvPr>
            <xdr:cNvGrpSpPr>
              <a:grpSpLocks/>
            </xdr:cNvGrpSpPr>
          </xdr:nvGrpSpPr>
          <xdr:grpSpPr bwMode="auto">
            <a:xfrm>
              <a:off x="12498918" y="3892550"/>
              <a:ext cx="628660" cy="171450"/>
              <a:chOff x="9794897" y="1273175"/>
              <a:chExt cx="746094" cy="149225"/>
            </a:xfrm>
          </xdr:grpSpPr>
          <xdr:sp macro="" textlink="">
            <xdr:nvSpPr>
              <xdr:cNvPr id="17337" name="LeftSide" descr="Sides" hidden="1">
                <a:extLst>
                  <a:ext uri="{63B3BB69-23CF-44E3-9099-C40C66FF867C}">
                    <a14:compatExt spid="_x0000_s17337"/>
                  </a:ext>
                  <a:ext uri="{FF2B5EF4-FFF2-40B4-BE49-F238E27FC236}">
                    <a16:creationId xmlns:a16="http://schemas.microsoft.com/office/drawing/2014/main" id="{00000000-0008-0000-0000-0000B9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8" name="RightSide" descr="Sides" hidden="1">
                <a:extLst>
                  <a:ext uri="{63B3BB69-23CF-44E3-9099-C40C66FF867C}">
                    <a14:compatExt spid="_x0000_s17338"/>
                  </a:ext>
                  <a:ext uri="{FF2B5EF4-FFF2-40B4-BE49-F238E27FC236}">
                    <a16:creationId xmlns:a16="http://schemas.microsoft.com/office/drawing/2014/main" id="{00000000-0008-0000-0000-0000BA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39" name="TopSide" descr="Sides" hidden="1">
                <a:extLst>
                  <a:ext uri="{63B3BB69-23CF-44E3-9099-C40C66FF867C}">
                    <a14:compatExt spid="_x0000_s17339"/>
                  </a:ext>
                  <a:ext uri="{FF2B5EF4-FFF2-40B4-BE49-F238E27FC236}">
                    <a16:creationId xmlns:a16="http://schemas.microsoft.com/office/drawing/2014/main" id="{00000000-0008-0000-0000-0000BB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0" name="BottomSide" descr="Sides" hidden="1">
                <a:extLst>
                  <a:ext uri="{63B3BB69-23CF-44E3-9099-C40C66FF867C}">
                    <a14:compatExt spid="_x0000_s17340"/>
                  </a:ext>
                  <a:ext uri="{FF2B5EF4-FFF2-40B4-BE49-F238E27FC236}">
                    <a16:creationId xmlns:a16="http://schemas.microsoft.com/office/drawing/2014/main" id="{00000000-0008-0000-0000-0000BC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20</xdr:row>
          <xdr:rowOff>19050</xdr:rowOff>
        </xdr:from>
        <xdr:to>
          <xdr:col>19</xdr:col>
          <xdr:colOff>628650</xdr:colOff>
          <xdr:row>20</xdr:row>
          <xdr:rowOff>190500</xdr:rowOff>
        </xdr:to>
        <xdr:grpSp>
          <xdr:nvGrpSpPr>
            <xdr:cNvPr id="53559" name="Group 82">
              <a:extLst>
                <a:ext uri="{FF2B5EF4-FFF2-40B4-BE49-F238E27FC236}">
                  <a16:creationId xmlns:a16="http://schemas.microsoft.com/office/drawing/2014/main" id="{00000000-0008-0000-0000-000037D10000}"/>
                </a:ext>
              </a:extLst>
            </xdr:cNvPr>
            <xdr:cNvGrpSpPr>
              <a:grpSpLocks/>
            </xdr:cNvGrpSpPr>
          </xdr:nvGrpSpPr>
          <xdr:grpSpPr bwMode="auto">
            <a:xfrm>
              <a:off x="12498918" y="4093633"/>
              <a:ext cx="628660" cy="171450"/>
              <a:chOff x="9794897" y="1273175"/>
              <a:chExt cx="746094" cy="149225"/>
            </a:xfrm>
          </xdr:grpSpPr>
          <xdr:sp macro="" textlink="">
            <xdr:nvSpPr>
              <xdr:cNvPr id="17341" name="LeftSide" descr="Sides" hidden="1">
                <a:extLst>
                  <a:ext uri="{63B3BB69-23CF-44E3-9099-C40C66FF867C}">
                    <a14:compatExt spid="_x0000_s17341"/>
                  </a:ext>
                  <a:ext uri="{FF2B5EF4-FFF2-40B4-BE49-F238E27FC236}">
                    <a16:creationId xmlns:a16="http://schemas.microsoft.com/office/drawing/2014/main" id="{00000000-0008-0000-0000-0000BD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2" name="RightSide" descr="Sides" hidden="1">
                <a:extLst>
                  <a:ext uri="{63B3BB69-23CF-44E3-9099-C40C66FF867C}">
                    <a14:compatExt spid="_x0000_s17342"/>
                  </a:ext>
                  <a:ext uri="{FF2B5EF4-FFF2-40B4-BE49-F238E27FC236}">
                    <a16:creationId xmlns:a16="http://schemas.microsoft.com/office/drawing/2014/main" id="{00000000-0008-0000-0000-0000BE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3" name="TopSide" descr="Sides" hidden="1">
                <a:extLst>
                  <a:ext uri="{63B3BB69-23CF-44E3-9099-C40C66FF867C}">
                    <a14:compatExt spid="_x0000_s17343"/>
                  </a:ext>
                  <a:ext uri="{FF2B5EF4-FFF2-40B4-BE49-F238E27FC236}">
                    <a16:creationId xmlns:a16="http://schemas.microsoft.com/office/drawing/2014/main" id="{00000000-0008-0000-0000-0000BF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4" name="BottomSide" descr="Sides" hidden="1">
                <a:extLst>
                  <a:ext uri="{63B3BB69-23CF-44E3-9099-C40C66FF867C}">
                    <a14:compatExt spid="_x0000_s17344"/>
                  </a:ext>
                  <a:ext uri="{FF2B5EF4-FFF2-40B4-BE49-F238E27FC236}">
                    <a16:creationId xmlns:a16="http://schemas.microsoft.com/office/drawing/2014/main" id="{00000000-0008-0000-0000-0000C0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21</xdr:row>
          <xdr:rowOff>19050</xdr:rowOff>
        </xdr:from>
        <xdr:to>
          <xdr:col>19</xdr:col>
          <xdr:colOff>628650</xdr:colOff>
          <xdr:row>21</xdr:row>
          <xdr:rowOff>190500</xdr:rowOff>
        </xdr:to>
        <xdr:grpSp>
          <xdr:nvGrpSpPr>
            <xdr:cNvPr id="53560" name="Group 87">
              <a:extLst>
                <a:ext uri="{FF2B5EF4-FFF2-40B4-BE49-F238E27FC236}">
                  <a16:creationId xmlns:a16="http://schemas.microsoft.com/office/drawing/2014/main" id="{00000000-0008-0000-0000-000038D10000}"/>
                </a:ext>
              </a:extLst>
            </xdr:cNvPr>
            <xdr:cNvGrpSpPr>
              <a:grpSpLocks/>
            </xdr:cNvGrpSpPr>
          </xdr:nvGrpSpPr>
          <xdr:grpSpPr bwMode="auto">
            <a:xfrm>
              <a:off x="12498918" y="4294717"/>
              <a:ext cx="628660" cy="171450"/>
              <a:chOff x="9794897" y="1273175"/>
              <a:chExt cx="746094" cy="149225"/>
            </a:xfrm>
          </xdr:grpSpPr>
          <xdr:sp macro="" textlink="">
            <xdr:nvSpPr>
              <xdr:cNvPr id="17345" name="LeftSide" descr="Sides" hidden="1">
                <a:extLst>
                  <a:ext uri="{63B3BB69-23CF-44E3-9099-C40C66FF867C}">
                    <a14:compatExt spid="_x0000_s17345"/>
                  </a:ext>
                  <a:ext uri="{FF2B5EF4-FFF2-40B4-BE49-F238E27FC236}">
                    <a16:creationId xmlns:a16="http://schemas.microsoft.com/office/drawing/2014/main" id="{00000000-0008-0000-0000-0000C1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6" name="RightSide" descr="Sides" hidden="1">
                <a:extLst>
                  <a:ext uri="{63B3BB69-23CF-44E3-9099-C40C66FF867C}">
                    <a14:compatExt spid="_x0000_s17346"/>
                  </a:ext>
                  <a:ext uri="{FF2B5EF4-FFF2-40B4-BE49-F238E27FC236}">
                    <a16:creationId xmlns:a16="http://schemas.microsoft.com/office/drawing/2014/main" id="{00000000-0008-0000-0000-0000C2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7" name="TopSide" descr="Sides" hidden="1">
                <a:extLst>
                  <a:ext uri="{63B3BB69-23CF-44E3-9099-C40C66FF867C}">
                    <a14:compatExt spid="_x0000_s17347"/>
                  </a:ext>
                  <a:ext uri="{FF2B5EF4-FFF2-40B4-BE49-F238E27FC236}">
                    <a16:creationId xmlns:a16="http://schemas.microsoft.com/office/drawing/2014/main" id="{00000000-0008-0000-0000-0000C3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48" name="BottomSide" descr="Sides" hidden="1">
                <a:extLst>
                  <a:ext uri="{63B3BB69-23CF-44E3-9099-C40C66FF867C}">
                    <a14:compatExt spid="_x0000_s17348"/>
                  </a:ext>
                  <a:ext uri="{FF2B5EF4-FFF2-40B4-BE49-F238E27FC236}">
                    <a16:creationId xmlns:a16="http://schemas.microsoft.com/office/drawing/2014/main" id="{00000000-0008-0000-0000-0000C4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22</xdr:row>
          <xdr:rowOff>28575</xdr:rowOff>
        </xdr:from>
        <xdr:to>
          <xdr:col>19</xdr:col>
          <xdr:colOff>628650</xdr:colOff>
          <xdr:row>22</xdr:row>
          <xdr:rowOff>190500</xdr:rowOff>
        </xdr:to>
        <xdr:grpSp>
          <xdr:nvGrpSpPr>
            <xdr:cNvPr id="53561" name="Group 92">
              <a:extLst>
                <a:ext uri="{FF2B5EF4-FFF2-40B4-BE49-F238E27FC236}">
                  <a16:creationId xmlns:a16="http://schemas.microsoft.com/office/drawing/2014/main" id="{00000000-0008-0000-0000-000039D10000}"/>
                </a:ext>
              </a:extLst>
            </xdr:cNvPr>
            <xdr:cNvGrpSpPr>
              <a:grpSpLocks/>
            </xdr:cNvGrpSpPr>
          </xdr:nvGrpSpPr>
          <xdr:grpSpPr bwMode="auto">
            <a:xfrm>
              <a:off x="12498918" y="4505325"/>
              <a:ext cx="628660" cy="161925"/>
              <a:chOff x="9794897" y="1273175"/>
              <a:chExt cx="746094" cy="149225"/>
            </a:xfrm>
          </xdr:grpSpPr>
          <xdr:sp macro="" textlink="">
            <xdr:nvSpPr>
              <xdr:cNvPr id="17349" name="LeftSide" descr="Sides" hidden="1">
                <a:extLst>
                  <a:ext uri="{63B3BB69-23CF-44E3-9099-C40C66FF867C}">
                    <a14:compatExt spid="_x0000_s17349"/>
                  </a:ext>
                  <a:ext uri="{FF2B5EF4-FFF2-40B4-BE49-F238E27FC236}">
                    <a16:creationId xmlns:a16="http://schemas.microsoft.com/office/drawing/2014/main" id="{00000000-0008-0000-0000-0000C5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0" name="RightSide" descr="Sides" hidden="1">
                <a:extLst>
                  <a:ext uri="{63B3BB69-23CF-44E3-9099-C40C66FF867C}">
                    <a14:compatExt spid="_x0000_s17350"/>
                  </a:ext>
                  <a:ext uri="{FF2B5EF4-FFF2-40B4-BE49-F238E27FC236}">
                    <a16:creationId xmlns:a16="http://schemas.microsoft.com/office/drawing/2014/main" id="{00000000-0008-0000-0000-0000C6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1" name="TopSide" descr="Sides" hidden="1">
                <a:extLst>
                  <a:ext uri="{63B3BB69-23CF-44E3-9099-C40C66FF867C}">
                    <a14:compatExt spid="_x0000_s17351"/>
                  </a:ext>
                  <a:ext uri="{FF2B5EF4-FFF2-40B4-BE49-F238E27FC236}">
                    <a16:creationId xmlns:a16="http://schemas.microsoft.com/office/drawing/2014/main" id="{00000000-0008-0000-0000-0000C7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2" name="BottomSide" descr="Sides" hidden="1">
                <a:extLst>
                  <a:ext uri="{63B3BB69-23CF-44E3-9099-C40C66FF867C}">
                    <a14:compatExt spid="_x0000_s17352"/>
                  </a:ext>
                  <a:ext uri="{FF2B5EF4-FFF2-40B4-BE49-F238E27FC236}">
                    <a16:creationId xmlns:a16="http://schemas.microsoft.com/office/drawing/2014/main" id="{00000000-0008-0000-0000-0000C8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23</xdr:row>
          <xdr:rowOff>28575</xdr:rowOff>
        </xdr:from>
        <xdr:to>
          <xdr:col>19</xdr:col>
          <xdr:colOff>628650</xdr:colOff>
          <xdr:row>23</xdr:row>
          <xdr:rowOff>190500</xdr:rowOff>
        </xdr:to>
        <xdr:grpSp>
          <xdr:nvGrpSpPr>
            <xdr:cNvPr id="53562" name="Group 97">
              <a:extLst>
                <a:ext uri="{FF2B5EF4-FFF2-40B4-BE49-F238E27FC236}">
                  <a16:creationId xmlns:a16="http://schemas.microsoft.com/office/drawing/2014/main" id="{00000000-0008-0000-0000-00003AD10000}"/>
                </a:ext>
              </a:extLst>
            </xdr:cNvPr>
            <xdr:cNvGrpSpPr>
              <a:grpSpLocks/>
            </xdr:cNvGrpSpPr>
          </xdr:nvGrpSpPr>
          <xdr:grpSpPr bwMode="auto">
            <a:xfrm>
              <a:off x="12498918" y="4706408"/>
              <a:ext cx="628660" cy="161925"/>
              <a:chOff x="9794897" y="1273175"/>
              <a:chExt cx="746094" cy="149225"/>
            </a:xfrm>
          </xdr:grpSpPr>
          <xdr:sp macro="" textlink="">
            <xdr:nvSpPr>
              <xdr:cNvPr id="17353" name="LeftSide" descr="Sides" hidden="1">
                <a:extLst>
                  <a:ext uri="{63B3BB69-23CF-44E3-9099-C40C66FF867C}">
                    <a14:compatExt spid="_x0000_s17353"/>
                  </a:ext>
                  <a:ext uri="{FF2B5EF4-FFF2-40B4-BE49-F238E27FC236}">
                    <a16:creationId xmlns:a16="http://schemas.microsoft.com/office/drawing/2014/main" id="{00000000-0008-0000-0000-0000C9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4" name="RightSide" descr="Sides" hidden="1">
                <a:extLst>
                  <a:ext uri="{63B3BB69-23CF-44E3-9099-C40C66FF867C}">
                    <a14:compatExt spid="_x0000_s17354"/>
                  </a:ext>
                  <a:ext uri="{FF2B5EF4-FFF2-40B4-BE49-F238E27FC236}">
                    <a16:creationId xmlns:a16="http://schemas.microsoft.com/office/drawing/2014/main" id="{00000000-0008-0000-0000-0000CA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5" name="TopSide" descr="Sides" hidden="1">
                <a:extLst>
                  <a:ext uri="{63B3BB69-23CF-44E3-9099-C40C66FF867C}">
                    <a14:compatExt spid="_x0000_s17355"/>
                  </a:ext>
                  <a:ext uri="{FF2B5EF4-FFF2-40B4-BE49-F238E27FC236}">
                    <a16:creationId xmlns:a16="http://schemas.microsoft.com/office/drawing/2014/main" id="{00000000-0008-0000-0000-0000CB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6" name="BottomSide" descr="Sides" hidden="1">
                <a:extLst>
                  <a:ext uri="{63B3BB69-23CF-44E3-9099-C40C66FF867C}">
                    <a14:compatExt spid="_x0000_s17356"/>
                  </a:ext>
                  <a:ext uri="{FF2B5EF4-FFF2-40B4-BE49-F238E27FC236}">
                    <a16:creationId xmlns:a16="http://schemas.microsoft.com/office/drawing/2014/main" id="{00000000-0008-0000-0000-0000CC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24</xdr:row>
          <xdr:rowOff>28575</xdr:rowOff>
        </xdr:from>
        <xdr:to>
          <xdr:col>19</xdr:col>
          <xdr:colOff>628650</xdr:colOff>
          <xdr:row>25</xdr:row>
          <xdr:rowOff>0</xdr:rowOff>
        </xdr:to>
        <xdr:grpSp>
          <xdr:nvGrpSpPr>
            <xdr:cNvPr id="53563" name="Group 102">
              <a:extLst>
                <a:ext uri="{FF2B5EF4-FFF2-40B4-BE49-F238E27FC236}">
                  <a16:creationId xmlns:a16="http://schemas.microsoft.com/office/drawing/2014/main" id="{00000000-0008-0000-0000-00003BD10000}"/>
                </a:ext>
              </a:extLst>
            </xdr:cNvPr>
            <xdr:cNvGrpSpPr>
              <a:grpSpLocks/>
            </xdr:cNvGrpSpPr>
          </xdr:nvGrpSpPr>
          <xdr:grpSpPr bwMode="auto">
            <a:xfrm>
              <a:off x="12498918" y="4907492"/>
              <a:ext cx="628660" cy="172508"/>
              <a:chOff x="9794897" y="1273175"/>
              <a:chExt cx="746094" cy="149225"/>
            </a:xfrm>
          </xdr:grpSpPr>
          <xdr:sp macro="" textlink="">
            <xdr:nvSpPr>
              <xdr:cNvPr id="17357" name="LeftSide" descr="Sides" hidden="1">
                <a:extLst>
                  <a:ext uri="{63B3BB69-23CF-44E3-9099-C40C66FF867C}">
                    <a14:compatExt spid="_x0000_s17357"/>
                  </a:ext>
                  <a:ext uri="{FF2B5EF4-FFF2-40B4-BE49-F238E27FC236}">
                    <a16:creationId xmlns:a16="http://schemas.microsoft.com/office/drawing/2014/main" id="{00000000-0008-0000-0000-0000CD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8" name="RightSide" descr="Sides" hidden="1">
                <a:extLst>
                  <a:ext uri="{63B3BB69-23CF-44E3-9099-C40C66FF867C}">
                    <a14:compatExt spid="_x0000_s17358"/>
                  </a:ext>
                  <a:ext uri="{FF2B5EF4-FFF2-40B4-BE49-F238E27FC236}">
                    <a16:creationId xmlns:a16="http://schemas.microsoft.com/office/drawing/2014/main" id="{00000000-0008-0000-0000-0000CE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59" name="TopSide" descr="Sides" hidden="1">
                <a:extLst>
                  <a:ext uri="{63B3BB69-23CF-44E3-9099-C40C66FF867C}">
                    <a14:compatExt spid="_x0000_s17359"/>
                  </a:ext>
                  <a:ext uri="{FF2B5EF4-FFF2-40B4-BE49-F238E27FC236}">
                    <a16:creationId xmlns:a16="http://schemas.microsoft.com/office/drawing/2014/main" id="{00000000-0008-0000-0000-0000CF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0" name="BottomSide" descr="Sides" hidden="1">
                <a:extLst>
                  <a:ext uri="{63B3BB69-23CF-44E3-9099-C40C66FF867C}">
                    <a14:compatExt spid="_x0000_s17360"/>
                  </a:ext>
                  <a:ext uri="{FF2B5EF4-FFF2-40B4-BE49-F238E27FC236}">
                    <a16:creationId xmlns:a16="http://schemas.microsoft.com/office/drawing/2014/main" id="{00000000-0008-0000-0000-0000D0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25</xdr:row>
          <xdr:rowOff>28575</xdr:rowOff>
        </xdr:from>
        <xdr:to>
          <xdr:col>19</xdr:col>
          <xdr:colOff>628650</xdr:colOff>
          <xdr:row>26</xdr:row>
          <xdr:rowOff>0</xdr:rowOff>
        </xdr:to>
        <xdr:grpSp>
          <xdr:nvGrpSpPr>
            <xdr:cNvPr id="53564" name="Group 107">
              <a:extLst>
                <a:ext uri="{FF2B5EF4-FFF2-40B4-BE49-F238E27FC236}">
                  <a16:creationId xmlns:a16="http://schemas.microsoft.com/office/drawing/2014/main" id="{00000000-0008-0000-0000-00003CD10000}"/>
                </a:ext>
              </a:extLst>
            </xdr:cNvPr>
            <xdr:cNvGrpSpPr>
              <a:grpSpLocks/>
            </xdr:cNvGrpSpPr>
          </xdr:nvGrpSpPr>
          <xdr:grpSpPr bwMode="auto">
            <a:xfrm>
              <a:off x="12498918" y="5108575"/>
              <a:ext cx="628660" cy="172508"/>
              <a:chOff x="9794897" y="1273175"/>
              <a:chExt cx="746094" cy="149225"/>
            </a:xfrm>
          </xdr:grpSpPr>
          <xdr:sp macro="" textlink="">
            <xdr:nvSpPr>
              <xdr:cNvPr id="17361" name="LeftSide" descr="Sides" hidden="1">
                <a:extLst>
                  <a:ext uri="{63B3BB69-23CF-44E3-9099-C40C66FF867C}">
                    <a14:compatExt spid="_x0000_s17361"/>
                  </a:ext>
                  <a:ext uri="{FF2B5EF4-FFF2-40B4-BE49-F238E27FC236}">
                    <a16:creationId xmlns:a16="http://schemas.microsoft.com/office/drawing/2014/main" id="{00000000-0008-0000-0000-0000D14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2" name="RightSide" descr="Sides" hidden="1">
                <a:extLst>
                  <a:ext uri="{63B3BB69-23CF-44E3-9099-C40C66FF867C}">
                    <a14:compatExt spid="_x0000_s17362"/>
                  </a:ext>
                  <a:ext uri="{FF2B5EF4-FFF2-40B4-BE49-F238E27FC236}">
                    <a16:creationId xmlns:a16="http://schemas.microsoft.com/office/drawing/2014/main" id="{00000000-0008-0000-0000-0000D24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3" name="TopSide" descr="Sides" hidden="1">
                <a:extLst>
                  <a:ext uri="{63B3BB69-23CF-44E3-9099-C40C66FF867C}">
                    <a14:compatExt spid="_x0000_s17363"/>
                  </a:ext>
                  <a:ext uri="{FF2B5EF4-FFF2-40B4-BE49-F238E27FC236}">
                    <a16:creationId xmlns:a16="http://schemas.microsoft.com/office/drawing/2014/main" id="{00000000-0008-0000-0000-0000D34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17364" name="BottomSide" descr="Sides" hidden="1">
                <a:extLst>
                  <a:ext uri="{63B3BB69-23CF-44E3-9099-C40C66FF867C}">
                    <a14:compatExt spid="_x0000_s17364"/>
                  </a:ext>
                  <a:ext uri="{FF2B5EF4-FFF2-40B4-BE49-F238E27FC236}">
                    <a16:creationId xmlns:a16="http://schemas.microsoft.com/office/drawing/2014/main" id="{00000000-0008-0000-0000-0000D44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6</xdr:row>
          <xdr:rowOff>0</xdr:rowOff>
        </xdr:from>
        <xdr:to>
          <xdr:col>10</xdr:col>
          <xdr:colOff>409575</xdr:colOff>
          <xdr:row>7</xdr:row>
          <xdr:rowOff>9525</xdr:rowOff>
        </xdr:to>
        <xdr:sp macro="" textlink="">
          <xdr:nvSpPr>
            <xdr:cNvPr id="45689" name="Check Box 8825" hidden="1">
              <a:extLst>
                <a:ext uri="{63B3BB69-23CF-44E3-9099-C40C66FF867C}">
                  <a14:compatExt spid="_x0000_s45689"/>
                </a:ext>
                <a:ext uri="{FF2B5EF4-FFF2-40B4-BE49-F238E27FC236}">
                  <a16:creationId xmlns:a16="http://schemas.microsoft.com/office/drawing/2014/main" id="{00000000-0008-0000-0000-000079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6</xdr:row>
          <xdr:rowOff>190500</xdr:rowOff>
        </xdr:from>
        <xdr:to>
          <xdr:col>10</xdr:col>
          <xdr:colOff>409575</xdr:colOff>
          <xdr:row>8</xdr:row>
          <xdr:rowOff>0</xdr:rowOff>
        </xdr:to>
        <xdr:sp macro="" textlink="">
          <xdr:nvSpPr>
            <xdr:cNvPr id="45690" name="Check Box 8826" hidden="1">
              <a:extLst>
                <a:ext uri="{63B3BB69-23CF-44E3-9099-C40C66FF867C}">
                  <a14:compatExt spid="_x0000_s45690"/>
                </a:ext>
                <a:ext uri="{FF2B5EF4-FFF2-40B4-BE49-F238E27FC236}">
                  <a16:creationId xmlns:a16="http://schemas.microsoft.com/office/drawing/2014/main" id="{00000000-0008-0000-0000-00007A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8</xdr:row>
          <xdr:rowOff>0</xdr:rowOff>
        </xdr:from>
        <xdr:to>
          <xdr:col>10</xdr:col>
          <xdr:colOff>409575</xdr:colOff>
          <xdr:row>9</xdr:row>
          <xdr:rowOff>9525</xdr:rowOff>
        </xdr:to>
        <xdr:sp macro="" textlink="">
          <xdr:nvSpPr>
            <xdr:cNvPr id="45692" name="Check Box 8828" hidden="1">
              <a:extLst>
                <a:ext uri="{63B3BB69-23CF-44E3-9099-C40C66FF867C}">
                  <a14:compatExt spid="_x0000_s45692"/>
                </a:ext>
                <a:ext uri="{FF2B5EF4-FFF2-40B4-BE49-F238E27FC236}">
                  <a16:creationId xmlns:a16="http://schemas.microsoft.com/office/drawing/2014/main" id="{00000000-0008-0000-0000-00007C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9</xdr:row>
          <xdr:rowOff>0</xdr:rowOff>
        </xdr:from>
        <xdr:to>
          <xdr:col>10</xdr:col>
          <xdr:colOff>409575</xdr:colOff>
          <xdr:row>10</xdr:row>
          <xdr:rowOff>9525</xdr:rowOff>
        </xdr:to>
        <xdr:sp macro="" textlink="">
          <xdr:nvSpPr>
            <xdr:cNvPr id="45693" name="Check Box 8829" hidden="1">
              <a:extLst>
                <a:ext uri="{63B3BB69-23CF-44E3-9099-C40C66FF867C}">
                  <a14:compatExt spid="_x0000_s45693"/>
                </a:ext>
                <a:ext uri="{FF2B5EF4-FFF2-40B4-BE49-F238E27FC236}">
                  <a16:creationId xmlns:a16="http://schemas.microsoft.com/office/drawing/2014/main" id="{00000000-0008-0000-0000-00007D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9</xdr:row>
          <xdr:rowOff>190500</xdr:rowOff>
        </xdr:from>
        <xdr:to>
          <xdr:col>10</xdr:col>
          <xdr:colOff>409575</xdr:colOff>
          <xdr:row>11</xdr:row>
          <xdr:rowOff>0</xdr:rowOff>
        </xdr:to>
        <xdr:sp macro="" textlink="">
          <xdr:nvSpPr>
            <xdr:cNvPr id="45694" name="Check Box 8830" hidden="1">
              <a:extLst>
                <a:ext uri="{63B3BB69-23CF-44E3-9099-C40C66FF867C}">
                  <a14:compatExt spid="_x0000_s45694"/>
                </a:ext>
                <a:ext uri="{FF2B5EF4-FFF2-40B4-BE49-F238E27FC236}">
                  <a16:creationId xmlns:a16="http://schemas.microsoft.com/office/drawing/2014/main" id="{00000000-0008-0000-0000-00007E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11</xdr:row>
          <xdr:rowOff>0</xdr:rowOff>
        </xdr:from>
        <xdr:to>
          <xdr:col>10</xdr:col>
          <xdr:colOff>409575</xdr:colOff>
          <xdr:row>12</xdr:row>
          <xdr:rowOff>9525</xdr:rowOff>
        </xdr:to>
        <xdr:sp macro="" textlink="">
          <xdr:nvSpPr>
            <xdr:cNvPr id="45695" name="Check Box 8831" hidden="1">
              <a:extLst>
                <a:ext uri="{63B3BB69-23CF-44E3-9099-C40C66FF867C}">
                  <a14:compatExt spid="_x0000_s45695"/>
                </a:ext>
                <a:ext uri="{FF2B5EF4-FFF2-40B4-BE49-F238E27FC236}">
                  <a16:creationId xmlns:a16="http://schemas.microsoft.com/office/drawing/2014/main" id="{00000000-0008-0000-0000-00007F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11</xdr:row>
          <xdr:rowOff>190500</xdr:rowOff>
        </xdr:from>
        <xdr:to>
          <xdr:col>10</xdr:col>
          <xdr:colOff>409575</xdr:colOff>
          <xdr:row>13</xdr:row>
          <xdr:rowOff>0</xdr:rowOff>
        </xdr:to>
        <xdr:sp macro="" textlink="">
          <xdr:nvSpPr>
            <xdr:cNvPr id="45696" name="Check Box 8832" hidden="1">
              <a:extLst>
                <a:ext uri="{63B3BB69-23CF-44E3-9099-C40C66FF867C}">
                  <a14:compatExt spid="_x0000_s45696"/>
                </a:ext>
                <a:ext uri="{FF2B5EF4-FFF2-40B4-BE49-F238E27FC236}">
                  <a16:creationId xmlns:a16="http://schemas.microsoft.com/office/drawing/2014/main" id="{00000000-0008-0000-0000-000080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12</xdr:row>
          <xdr:rowOff>190500</xdr:rowOff>
        </xdr:from>
        <xdr:to>
          <xdr:col>10</xdr:col>
          <xdr:colOff>409575</xdr:colOff>
          <xdr:row>14</xdr:row>
          <xdr:rowOff>0</xdr:rowOff>
        </xdr:to>
        <xdr:sp macro="" textlink="">
          <xdr:nvSpPr>
            <xdr:cNvPr id="45697" name="Check Box 8833" hidden="1">
              <a:extLst>
                <a:ext uri="{63B3BB69-23CF-44E3-9099-C40C66FF867C}">
                  <a14:compatExt spid="_x0000_s45697"/>
                </a:ext>
                <a:ext uri="{FF2B5EF4-FFF2-40B4-BE49-F238E27FC236}">
                  <a16:creationId xmlns:a16="http://schemas.microsoft.com/office/drawing/2014/main" id="{00000000-0008-0000-0000-000081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13</xdr:row>
          <xdr:rowOff>190500</xdr:rowOff>
        </xdr:from>
        <xdr:to>
          <xdr:col>10</xdr:col>
          <xdr:colOff>409575</xdr:colOff>
          <xdr:row>15</xdr:row>
          <xdr:rowOff>0</xdr:rowOff>
        </xdr:to>
        <xdr:sp macro="" textlink="">
          <xdr:nvSpPr>
            <xdr:cNvPr id="45698" name="Check Box 8834" hidden="1">
              <a:extLst>
                <a:ext uri="{63B3BB69-23CF-44E3-9099-C40C66FF867C}">
                  <a14:compatExt spid="_x0000_s45698"/>
                </a:ext>
                <a:ext uri="{FF2B5EF4-FFF2-40B4-BE49-F238E27FC236}">
                  <a16:creationId xmlns:a16="http://schemas.microsoft.com/office/drawing/2014/main" id="{00000000-0008-0000-0000-000082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14</xdr:row>
          <xdr:rowOff>190500</xdr:rowOff>
        </xdr:from>
        <xdr:to>
          <xdr:col>10</xdr:col>
          <xdr:colOff>409575</xdr:colOff>
          <xdr:row>16</xdr:row>
          <xdr:rowOff>0</xdr:rowOff>
        </xdr:to>
        <xdr:sp macro="" textlink="">
          <xdr:nvSpPr>
            <xdr:cNvPr id="45699" name="Check Box 8835" hidden="1">
              <a:extLst>
                <a:ext uri="{63B3BB69-23CF-44E3-9099-C40C66FF867C}">
                  <a14:compatExt spid="_x0000_s45699"/>
                </a:ext>
                <a:ext uri="{FF2B5EF4-FFF2-40B4-BE49-F238E27FC236}">
                  <a16:creationId xmlns:a16="http://schemas.microsoft.com/office/drawing/2014/main" id="{00000000-0008-0000-0000-000083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15</xdr:row>
          <xdr:rowOff>190500</xdr:rowOff>
        </xdr:from>
        <xdr:to>
          <xdr:col>10</xdr:col>
          <xdr:colOff>409575</xdr:colOff>
          <xdr:row>17</xdr:row>
          <xdr:rowOff>0</xdr:rowOff>
        </xdr:to>
        <xdr:sp macro="" textlink="">
          <xdr:nvSpPr>
            <xdr:cNvPr id="45700" name="Check Box 8836" hidden="1">
              <a:extLst>
                <a:ext uri="{63B3BB69-23CF-44E3-9099-C40C66FF867C}">
                  <a14:compatExt spid="_x0000_s45700"/>
                </a:ext>
                <a:ext uri="{FF2B5EF4-FFF2-40B4-BE49-F238E27FC236}">
                  <a16:creationId xmlns:a16="http://schemas.microsoft.com/office/drawing/2014/main" id="{00000000-0008-0000-0000-000084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16</xdr:row>
          <xdr:rowOff>190500</xdr:rowOff>
        </xdr:from>
        <xdr:to>
          <xdr:col>10</xdr:col>
          <xdr:colOff>409575</xdr:colOff>
          <xdr:row>18</xdr:row>
          <xdr:rowOff>0</xdr:rowOff>
        </xdr:to>
        <xdr:sp macro="" textlink="">
          <xdr:nvSpPr>
            <xdr:cNvPr id="45701" name="Check Box 8837" hidden="1">
              <a:extLst>
                <a:ext uri="{63B3BB69-23CF-44E3-9099-C40C66FF867C}">
                  <a14:compatExt spid="_x0000_s45701"/>
                </a:ext>
                <a:ext uri="{FF2B5EF4-FFF2-40B4-BE49-F238E27FC236}">
                  <a16:creationId xmlns:a16="http://schemas.microsoft.com/office/drawing/2014/main" id="{00000000-0008-0000-0000-000085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18</xdr:row>
          <xdr:rowOff>0</xdr:rowOff>
        </xdr:from>
        <xdr:to>
          <xdr:col>10</xdr:col>
          <xdr:colOff>409575</xdr:colOff>
          <xdr:row>19</xdr:row>
          <xdr:rowOff>9525</xdr:rowOff>
        </xdr:to>
        <xdr:sp macro="" textlink="">
          <xdr:nvSpPr>
            <xdr:cNvPr id="45702" name="Check Box 8838" hidden="1">
              <a:extLst>
                <a:ext uri="{63B3BB69-23CF-44E3-9099-C40C66FF867C}">
                  <a14:compatExt spid="_x0000_s45702"/>
                </a:ext>
                <a:ext uri="{FF2B5EF4-FFF2-40B4-BE49-F238E27FC236}">
                  <a16:creationId xmlns:a16="http://schemas.microsoft.com/office/drawing/2014/main" id="{00000000-0008-0000-0000-000086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19</xdr:row>
          <xdr:rowOff>0</xdr:rowOff>
        </xdr:from>
        <xdr:to>
          <xdr:col>10</xdr:col>
          <xdr:colOff>409575</xdr:colOff>
          <xdr:row>20</xdr:row>
          <xdr:rowOff>9525</xdr:rowOff>
        </xdr:to>
        <xdr:sp macro="" textlink="">
          <xdr:nvSpPr>
            <xdr:cNvPr id="45703" name="Check Box 8839" hidden="1">
              <a:extLst>
                <a:ext uri="{63B3BB69-23CF-44E3-9099-C40C66FF867C}">
                  <a14:compatExt spid="_x0000_s45703"/>
                </a:ext>
                <a:ext uri="{FF2B5EF4-FFF2-40B4-BE49-F238E27FC236}">
                  <a16:creationId xmlns:a16="http://schemas.microsoft.com/office/drawing/2014/main" id="{00000000-0008-0000-0000-000087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19</xdr:row>
          <xdr:rowOff>190500</xdr:rowOff>
        </xdr:from>
        <xdr:to>
          <xdr:col>10</xdr:col>
          <xdr:colOff>409575</xdr:colOff>
          <xdr:row>21</xdr:row>
          <xdr:rowOff>0</xdr:rowOff>
        </xdr:to>
        <xdr:sp macro="" textlink="">
          <xdr:nvSpPr>
            <xdr:cNvPr id="45704" name="Check Box 8840" hidden="1">
              <a:extLst>
                <a:ext uri="{63B3BB69-23CF-44E3-9099-C40C66FF867C}">
                  <a14:compatExt spid="_x0000_s45704"/>
                </a:ext>
                <a:ext uri="{FF2B5EF4-FFF2-40B4-BE49-F238E27FC236}">
                  <a16:creationId xmlns:a16="http://schemas.microsoft.com/office/drawing/2014/main" id="{00000000-0008-0000-0000-000088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21</xdr:row>
          <xdr:rowOff>0</xdr:rowOff>
        </xdr:from>
        <xdr:to>
          <xdr:col>10</xdr:col>
          <xdr:colOff>409575</xdr:colOff>
          <xdr:row>22</xdr:row>
          <xdr:rowOff>9525</xdr:rowOff>
        </xdr:to>
        <xdr:sp macro="" textlink="">
          <xdr:nvSpPr>
            <xdr:cNvPr id="45705" name="Check Box 8841" hidden="1">
              <a:extLst>
                <a:ext uri="{63B3BB69-23CF-44E3-9099-C40C66FF867C}">
                  <a14:compatExt spid="_x0000_s45705"/>
                </a:ext>
                <a:ext uri="{FF2B5EF4-FFF2-40B4-BE49-F238E27FC236}">
                  <a16:creationId xmlns:a16="http://schemas.microsoft.com/office/drawing/2014/main" id="{00000000-0008-0000-0000-000089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21</xdr:row>
          <xdr:rowOff>190500</xdr:rowOff>
        </xdr:from>
        <xdr:to>
          <xdr:col>10</xdr:col>
          <xdr:colOff>409575</xdr:colOff>
          <xdr:row>23</xdr:row>
          <xdr:rowOff>0</xdr:rowOff>
        </xdr:to>
        <xdr:sp macro="" textlink="">
          <xdr:nvSpPr>
            <xdr:cNvPr id="45706" name="Check Box 8842" hidden="1">
              <a:extLst>
                <a:ext uri="{63B3BB69-23CF-44E3-9099-C40C66FF867C}">
                  <a14:compatExt spid="_x0000_s45706"/>
                </a:ext>
                <a:ext uri="{FF2B5EF4-FFF2-40B4-BE49-F238E27FC236}">
                  <a16:creationId xmlns:a16="http://schemas.microsoft.com/office/drawing/2014/main" id="{00000000-0008-0000-0000-00008A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22</xdr:row>
          <xdr:rowOff>190500</xdr:rowOff>
        </xdr:from>
        <xdr:to>
          <xdr:col>10</xdr:col>
          <xdr:colOff>409575</xdr:colOff>
          <xdr:row>24</xdr:row>
          <xdr:rowOff>0</xdr:rowOff>
        </xdr:to>
        <xdr:sp macro="" textlink="">
          <xdr:nvSpPr>
            <xdr:cNvPr id="45707" name="Check Box 8843" hidden="1">
              <a:extLst>
                <a:ext uri="{63B3BB69-23CF-44E3-9099-C40C66FF867C}">
                  <a14:compatExt spid="_x0000_s45707"/>
                </a:ext>
                <a:ext uri="{FF2B5EF4-FFF2-40B4-BE49-F238E27FC236}">
                  <a16:creationId xmlns:a16="http://schemas.microsoft.com/office/drawing/2014/main" id="{00000000-0008-0000-0000-00008B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23</xdr:row>
          <xdr:rowOff>190500</xdr:rowOff>
        </xdr:from>
        <xdr:to>
          <xdr:col>10</xdr:col>
          <xdr:colOff>409575</xdr:colOff>
          <xdr:row>25</xdr:row>
          <xdr:rowOff>0</xdr:rowOff>
        </xdr:to>
        <xdr:sp macro="" textlink="">
          <xdr:nvSpPr>
            <xdr:cNvPr id="45708" name="Check Box 8844" hidden="1">
              <a:extLst>
                <a:ext uri="{63B3BB69-23CF-44E3-9099-C40C66FF867C}">
                  <a14:compatExt spid="_x0000_s45708"/>
                </a:ext>
                <a:ext uri="{FF2B5EF4-FFF2-40B4-BE49-F238E27FC236}">
                  <a16:creationId xmlns:a16="http://schemas.microsoft.com/office/drawing/2014/main" id="{00000000-0008-0000-0000-00008C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190500</xdr:colOff>
          <xdr:row>24</xdr:row>
          <xdr:rowOff>190500</xdr:rowOff>
        </xdr:from>
        <xdr:to>
          <xdr:col>10</xdr:col>
          <xdr:colOff>409575</xdr:colOff>
          <xdr:row>26</xdr:row>
          <xdr:rowOff>0</xdr:rowOff>
        </xdr:to>
        <xdr:sp macro="" textlink="">
          <xdr:nvSpPr>
            <xdr:cNvPr id="45709" name="Check Box 8845" hidden="1">
              <a:extLst>
                <a:ext uri="{63B3BB69-23CF-44E3-9099-C40C66FF867C}">
                  <a14:compatExt spid="_x0000_s45709"/>
                </a:ext>
                <a:ext uri="{FF2B5EF4-FFF2-40B4-BE49-F238E27FC236}">
                  <a16:creationId xmlns:a16="http://schemas.microsoft.com/office/drawing/2014/main" id="{00000000-0008-0000-0000-00008D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6</xdr:row>
          <xdr:rowOff>0</xdr:rowOff>
        </xdr:from>
        <xdr:to>
          <xdr:col>18</xdr:col>
          <xdr:colOff>504825</xdr:colOff>
          <xdr:row>7</xdr:row>
          <xdr:rowOff>9525</xdr:rowOff>
        </xdr:to>
        <xdr:sp macro="" textlink="">
          <xdr:nvSpPr>
            <xdr:cNvPr id="45730" name="Check Box 8866" hidden="1">
              <a:extLst>
                <a:ext uri="{63B3BB69-23CF-44E3-9099-C40C66FF867C}">
                  <a14:compatExt spid="_x0000_s45730"/>
                </a:ext>
                <a:ext uri="{FF2B5EF4-FFF2-40B4-BE49-F238E27FC236}">
                  <a16:creationId xmlns:a16="http://schemas.microsoft.com/office/drawing/2014/main" id="{00000000-0008-0000-0000-0000A2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6</xdr:row>
          <xdr:rowOff>190500</xdr:rowOff>
        </xdr:from>
        <xdr:to>
          <xdr:col>18</xdr:col>
          <xdr:colOff>504825</xdr:colOff>
          <xdr:row>8</xdr:row>
          <xdr:rowOff>0</xdr:rowOff>
        </xdr:to>
        <xdr:sp macro="" textlink="">
          <xdr:nvSpPr>
            <xdr:cNvPr id="45731" name="Check Box 8867" hidden="1">
              <a:extLst>
                <a:ext uri="{63B3BB69-23CF-44E3-9099-C40C66FF867C}">
                  <a14:compatExt spid="_x0000_s45731"/>
                </a:ext>
                <a:ext uri="{FF2B5EF4-FFF2-40B4-BE49-F238E27FC236}">
                  <a16:creationId xmlns:a16="http://schemas.microsoft.com/office/drawing/2014/main" id="{00000000-0008-0000-0000-0000A3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8</xdr:row>
          <xdr:rowOff>0</xdr:rowOff>
        </xdr:from>
        <xdr:to>
          <xdr:col>18</xdr:col>
          <xdr:colOff>504825</xdr:colOff>
          <xdr:row>9</xdr:row>
          <xdr:rowOff>9525</xdr:rowOff>
        </xdr:to>
        <xdr:sp macro="" textlink="">
          <xdr:nvSpPr>
            <xdr:cNvPr id="45732" name="Check Box 8868" hidden="1">
              <a:extLst>
                <a:ext uri="{63B3BB69-23CF-44E3-9099-C40C66FF867C}">
                  <a14:compatExt spid="_x0000_s45732"/>
                </a:ext>
                <a:ext uri="{FF2B5EF4-FFF2-40B4-BE49-F238E27FC236}">
                  <a16:creationId xmlns:a16="http://schemas.microsoft.com/office/drawing/2014/main" id="{00000000-0008-0000-0000-0000A4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9</xdr:row>
          <xdr:rowOff>0</xdr:rowOff>
        </xdr:from>
        <xdr:to>
          <xdr:col>18</xdr:col>
          <xdr:colOff>504825</xdr:colOff>
          <xdr:row>10</xdr:row>
          <xdr:rowOff>9525</xdr:rowOff>
        </xdr:to>
        <xdr:sp macro="" textlink="">
          <xdr:nvSpPr>
            <xdr:cNvPr id="45733" name="Check Box 8869" hidden="1">
              <a:extLst>
                <a:ext uri="{63B3BB69-23CF-44E3-9099-C40C66FF867C}">
                  <a14:compatExt spid="_x0000_s45733"/>
                </a:ext>
                <a:ext uri="{FF2B5EF4-FFF2-40B4-BE49-F238E27FC236}">
                  <a16:creationId xmlns:a16="http://schemas.microsoft.com/office/drawing/2014/main" id="{00000000-0008-0000-0000-0000A5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9</xdr:row>
          <xdr:rowOff>190500</xdr:rowOff>
        </xdr:from>
        <xdr:to>
          <xdr:col>18</xdr:col>
          <xdr:colOff>504825</xdr:colOff>
          <xdr:row>11</xdr:row>
          <xdr:rowOff>0</xdr:rowOff>
        </xdr:to>
        <xdr:sp macro="" textlink="">
          <xdr:nvSpPr>
            <xdr:cNvPr id="45734" name="Check Box 8870" hidden="1">
              <a:extLst>
                <a:ext uri="{63B3BB69-23CF-44E3-9099-C40C66FF867C}">
                  <a14:compatExt spid="_x0000_s45734"/>
                </a:ext>
                <a:ext uri="{FF2B5EF4-FFF2-40B4-BE49-F238E27FC236}">
                  <a16:creationId xmlns:a16="http://schemas.microsoft.com/office/drawing/2014/main" id="{00000000-0008-0000-0000-0000A6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10</xdr:row>
          <xdr:rowOff>200025</xdr:rowOff>
        </xdr:from>
        <xdr:to>
          <xdr:col>18</xdr:col>
          <xdr:colOff>504825</xdr:colOff>
          <xdr:row>12</xdr:row>
          <xdr:rowOff>9525</xdr:rowOff>
        </xdr:to>
        <xdr:sp macro="" textlink="">
          <xdr:nvSpPr>
            <xdr:cNvPr id="45735" name="Check Box 8871" hidden="1">
              <a:extLst>
                <a:ext uri="{63B3BB69-23CF-44E3-9099-C40C66FF867C}">
                  <a14:compatExt spid="_x0000_s45735"/>
                </a:ext>
                <a:ext uri="{FF2B5EF4-FFF2-40B4-BE49-F238E27FC236}">
                  <a16:creationId xmlns:a16="http://schemas.microsoft.com/office/drawing/2014/main" id="{00000000-0008-0000-0000-0000A7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11</xdr:row>
          <xdr:rowOff>190500</xdr:rowOff>
        </xdr:from>
        <xdr:to>
          <xdr:col>18</xdr:col>
          <xdr:colOff>504825</xdr:colOff>
          <xdr:row>13</xdr:row>
          <xdr:rowOff>0</xdr:rowOff>
        </xdr:to>
        <xdr:sp macro="" textlink="">
          <xdr:nvSpPr>
            <xdr:cNvPr id="45736" name="Check Box 8872" hidden="1">
              <a:extLst>
                <a:ext uri="{63B3BB69-23CF-44E3-9099-C40C66FF867C}">
                  <a14:compatExt spid="_x0000_s45736"/>
                </a:ext>
                <a:ext uri="{FF2B5EF4-FFF2-40B4-BE49-F238E27FC236}">
                  <a16:creationId xmlns:a16="http://schemas.microsoft.com/office/drawing/2014/main" id="{00000000-0008-0000-0000-0000A8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12</xdr:row>
          <xdr:rowOff>190500</xdr:rowOff>
        </xdr:from>
        <xdr:to>
          <xdr:col>18</xdr:col>
          <xdr:colOff>504825</xdr:colOff>
          <xdr:row>14</xdr:row>
          <xdr:rowOff>0</xdr:rowOff>
        </xdr:to>
        <xdr:sp macro="" textlink="">
          <xdr:nvSpPr>
            <xdr:cNvPr id="45737" name="Check Box 8873" hidden="1">
              <a:extLst>
                <a:ext uri="{63B3BB69-23CF-44E3-9099-C40C66FF867C}">
                  <a14:compatExt spid="_x0000_s45737"/>
                </a:ext>
                <a:ext uri="{FF2B5EF4-FFF2-40B4-BE49-F238E27FC236}">
                  <a16:creationId xmlns:a16="http://schemas.microsoft.com/office/drawing/2014/main" id="{00000000-0008-0000-0000-0000A9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13</xdr:row>
          <xdr:rowOff>190500</xdr:rowOff>
        </xdr:from>
        <xdr:to>
          <xdr:col>18</xdr:col>
          <xdr:colOff>504825</xdr:colOff>
          <xdr:row>15</xdr:row>
          <xdr:rowOff>0</xdr:rowOff>
        </xdr:to>
        <xdr:sp macro="" textlink="">
          <xdr:nvSpPr>
            <xdr:cNvPr id="45738" name="Check Box 8874" hidden="1">
              <a:extLst>
                <a:ext uri="{63B3BB69-23CF-44E3-9099-C40C66FF867C}">
                  <a14:compatExt spid="_x0000_s45738"/>
                </a:ext>
                <a:ext uri="{FF2B5EF4-FFF2-40B4-BE49-F238E27FC236}">
                  <a16:creationId xmlns:a16="http://schemas.microsoft.com/office/drawing/2014/main" id="{00000000-0008-0000-0000-0000AA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14</xdr:row>
          <xdr:rowOff>190500</xdr:rowOff>
        </xdr:from>
        <xdr:to>
          <xdr:col>18</xdr:col>
          <xdr:colOff>504825</xdr:colOff>
          <xdr:row>16</xdr:row>
          <xdr:rowOff>0</xdr:rowOff>
        </xdr:to>
        <xdr:sp macro="" textlink="">
          <xdr:nvSpPr>
            <xdr:cNvPr id="45739" name="Check Box 8875" hidden="1">
              <a:extLst>
                <a:ext uri="{63B3BB69-23CF-44E3-9099-C40C66FF867C}">
                  <a14:compatExt spid="_x0000_s45739"/>
                </a:ext>
                <a:ext uri="{FF2B5EF4-FFF2-40B4-BE49-F238E27FC236}">
                  <a16:creationId xmlns:a16="http://schemas.microsoft.com/office/drawing/2014/main" id="{00000000-0008-0000-0000-0000AB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15</xdr:row>
          <xdr:rowOff>190500</xdr:rowOff>
        </xdr:from>
        <xdr:to>
          <xdr:col>18</xdr:col>
          <xdr:colOff>504825</xdr:colOff>
          <xdr:row>17</xdr:row>
          <xdr:rowOff>0</xdr:rowOff>
        </xdr:to>
        <xdr:sp macro="" textlink="">
          <xdr:nvSpPr>
            <xdr:cNvPr id="45740" name="Check Box 8876" hidden="1">
              <a:extLst>
                <a:ext uri="{63B3BB69-23CF-44E3-9099-C40C66FF867C}">
                  <a14:compatExt spid="_x0000_s45740"/>
                </a:ext>
                <a:ext uri="{FF2B5EF4-FFF2-40B4-BE49-F238E27FC236}">
                  <a16:creationId xmlns:a16="http://schemas.microsoft.com/office/drawing/2014/main" id="{00000000-0008-0000-0000-0000AC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16</xdr:row>
          <xdr:rowOff>190500</xdr:rowOff>
        </xdr:from>
        <xdr:to>
          <xdr:col>18</xdr:col>
          <xdr:colOff>504825</xdr:colOff>
          <xdr:row>18</xdr:row>
          <xdr:rowOff>0</xdr:rowOff>
        </xdr:to>
        <xdr:sp macro="" textlink="">
          <xdr:nvSpPr>
            <xdr:cNvPr id="45741" name="Check Box 8877" hidden="1">
              <a:extLst>
                <a:ext uri="{63B3BB69-23CF-44E3-9099-C40C66FF867C}">
                  <a14:compatExt spid="_x0000_s45741"/>
                </a:ext>
                <a:ext uri="{FF2B5EF4-FFF2-40B4-BE49-F238E27FC236}">
                  <a16:creationId xmlns:a16="http://schemas.microsoft.com/office/drawing/2014/main" id="{00000000-0008-0000-0000-0000AD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18</xdr:row>
          <xdr:rowOff>0</xdr:rowOff>
        </xdr:from>
        <xdr:to>
          <xdr:col>18</xdr:col>
          <xdr:colOff>504825</xdr:colOff>
          <xdr:row>19</xdr:row>
          <xdr:rowOff>9525</xdr:rowOff>
        </xdr:to>
        <xdr:sp macro="" textlink="">
          <xdr:nvSpPr>
            <xdr:cNvPr id="45742" name="Check Box 8878" hidden="1">
              <a:extLst>
                <a:ext uri="{63B3BB69-23CF-44E3-9099-C40C66FF867C}">
                  <a14:compatExt spid="_x0000_s45742"/>
                </a:ext>
                <a:ext uri="{FF2B5EF4-FFF2-40B4-BE49-F238E27FC236}">
                  <a16:creationId xmlns:a16="http://schemas.microsoft.com/office/drawing/2014/main" id="{00000000-0008-0000-0000-0000AE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18</xdr:row>
          <xdr:rowOff>200025</xdr:rowOff>
        </xdr:from>
        <xdr:to>
          <xdr:col>18</xdr:col>
          <xdr:colOff>504825</xdr:colOff>
          <xdr:row>20</xdr:row>
          <xdr:rowOff>9525</xdr:rowOff>
        </xdr:to>
        <xdr:sp macro="" textlink="">
          <xdr:nvSpPr>
            <xdr:cNvPr id="45743" name="Check Box 8879" hidden="1">
              <a:extLst>
                <a:ext uri="{63B3BB69-23CF-44E3-9099-C40C66FF867C}">
                  <a14:compatExt spid="_x0000_s45743"/>
                </a:ext>
                <a:ext uri="{FF2B5EF4-FFF2-40B4-BE49-F238E27FC236}">
                  <a16:creationId xmlns:a16="http://schemas.microsoft.com/office/drawing/2014/main" id="{00000000-0008-0000-0000-0000AF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19</xdr:row>
          <xdr:rowOff>190500</xdr:rowOff>
        </xdr:from>
        <xdr:to>
          <xdr:col>18</xdr:col>
          <xdr:colOff>504825</xdr:colOff>
          <xdr:row>21</xdr:row>
          <xdr:rowOff>0</xdr:rowOff>
        </xdr:to>
        <xdr:sp macro="" textlink="">
          <xdr:nvSpPr>
            <xdr:cNvPr id="45744" name="Check Box 8880" hidden="1">
              <a:extLst>
                <a:ext uri="{63B3BB69-23CF-44E3-9099-C40C66FF867C}">
                  <a14:compatExt spid="_x0000_s45744"/>
                </a:ext>
                <a:ext uri="{FF2B5EF4-FFF2-40B4-BE49-F238E27FC236}">
                  <a16:creationId xmlns:a16="http://schemas.microsoft.com/office/drawing/2014/main" id="{00000000-0008-0000-0000-0000B0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21</xdr:row>
          <xdr:rowOff>0</xdr:rowOff>
        </xdr:from>
        <xdr:to>
          <xdr:col>18</xdr:col>
          <xdr:colOff>504825</xdr:colOff>
          <xdr:row>22</xdr:row>
          <xdr:rowOff>9525</xdr:rowOff>
        </xdr:to>
        <xdr:sp macro="" textlink="">
          <xdr:nvSpPr>
            <xdr:cNvPr id="45745" name="Check Box 8881" hidden="1">
              <a:extLst>
                <a:ext uri="{63B3BB69-23CF-44E3-9099-C40C66FF867C}">
                  <a14:compatExt spid="_x0000_s45745"/>
                </a:ext>
                <a:ext uri="{FF2B5EF4-FFF2-40B4-BE49-F238E27FC236}">
                  <a16:creationId xmlns:a16="http://schemas.microsoft.com/office/drawing/2014/main" id="{00000000-0008-0000-0000-0000B1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21</xdr:row>
          <xdr:rowOff>190500</xdr:rowOff>
        </xdr:from>
        <xdr:to>
          <xdr:col>18</xdr:col>
          <xdr:colOff>504825</xdr:colOff>
          <xdr:row>23</xdr:row>
          <xdr:rowOff>0</xdr:rowOff>
        </xdr:to>
        <xdr:sp macro="" textlink="">
          <xdr:nvSpPr>
            <xdr:cNvPr id="45746" name="Check Box 8882" hidden="1">
              <a:extLst>
                <a:ext uri="{63B3BB69-23CF-44E3-9099-C40C66FF867C}">
                  <a14:compatExt spid="_x0000_s45746"/>
                </a:ext>
                <a:ext uri="{FF2B5EF4-FFF2-40B4-BE49-F238E27FC236}">
                  <a16:creationId xmlns:a16="http://schemas.microsoft.com/office/drawing/2014/main" id="{00000000-0008-0000-0000-0000B2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22</xdr:row>
          <xdr:rowOff>190500</xdr:rowOff>
        </xdr:from>
        <xdr:to>
          <xdr:col>18</xdr:col>
          <xdr:colOff>504825</xdr:colOff>
          <xdr:row>24</xdr:row>
          <xdr:rowOff>0</xdr:rowOff>
        </xdr:to>
        <xdr:sp macro="" textlink="">
          <xdr:nvSpPr>
            <xdr:cNvPr id="45747" name="Check Box 8883" hidden="1">
              <a:extLst>
                <a:ext uri="{63B3BB69-23CF-44E3-9099-C40C66FF867C}">
                  <a14:compatExt spid="_x0000_s45747"/>
                </a:ext>
                <a:ext uri="{FF2B5EF4-FFF2-40B4-BE49-F238E27FC236}">
                  <a16:creationId xmlns:a16="http://schemas.microsoft.com/office/drawing/2014/main" id="{00000000-0008-0000-0000-0000B3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23</xdr:row>
          <xdr:rowOff>190500</xdr:rowOff>
        </xdr:from>
        <xdr:to>
          <xdr:col>18</xdr:col>
          <xdr:colOff>504825</xdr:colOff>
          <xdr:row>25</xdr:row>
          <xdr:rowOff>0</xdr:rowOff>
        </xdr:to>
        <xdr:sp macro="" textlink="">
          <xdr:nvSpPr>
            <xdr:cNvPr id="45748" name="Check Box 8884" hidden="1">
              <a:extLst>
                <a:ext uri="{63B3BB69-23CF-44E3-9099-C40C66FF867C}">
                  <a14:compatExt spid="_x0000_s45748"/>
                </a:ext>
                <a:ext uri="{FF2B5EF4-FFF2-40B4-BE49-F238E27FC236}">
                  <a16:creationId xmlns:a16="http://schemas.microsoft.com/office/drawing/2014/main" id="{00000000-0008-0000-0000-0000B4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18</xdr:col>
          <xdr:colOff>285750</xdr:colOff>
          <xdr:row>24</xdr:row>
          <xdr:rowOff>190500</xdr:rowOff>
        </xdr:from>
        <xdr:to>
          <xdr:col>18</xdr:col>
          <xdr:colOff>504825</xdr:colOff>
          <xdr:row>26</xdr:row>
          <xdr:rowOff>0</xdr:rowOff>
        </xdr:to>
        <xdr:sp macro="" textlink="">
          <xdr:nvSpPr>
            <xdr:cNvPr id="45749" name="Check Box 8885" hidden="1">
              <a:extLst>
                <a:ext uri="{63B3BB69-23CF-44E3-9099-C40C66FF867C}">
                  <a14:compatExt spid="_x0000_s45749"/>
                </a:ext>
                <a:ext uri="{FF2B5EF4-FFF2-40B4-BE49-F238E27FC236}">
                  <a16:creationId xmlns:a16="http://schemas.microsoft.com/office/drawing/2014/main" id="{00000000-0008-0000-0000-0000B5B2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6</xdr:row>
          <xdr:rowOff>0</xdr:rowOff>
        </xdr:from>
        <xdr:to>
          <xdr:col>20</xdr:col>
          <xdr:colOff>628650</xdr:colOff>
          <xdr:row>6</xdr:row>
          <xdr:rowOff>171450</xdr:rowOff>
        </xdr:to>
        <xdr:grpSp>
          <xdr:nvGrpSpPr>
            <xdr:cNvPr id="53565" name="Group 3">
              <a:extLst>
                <a:ext uri="{FF2B5EF4-FFF2-40B4-BE49-F238E27FC236}">
                  <a16:creationId xmlns:a16="http://schemas.microsoft.com/office/drawing/2014/main" id="{00000000-0008-0000-0000-00003DD10000}"/>
                </a:ext>
              </a:extLst>
            </xdr:cNvPr>
            <xdr:cNvGrpSpPr>
              <a:grpSpLocks/>
            </xdr:cNvGrpSpPr>
          </xdr:nvGrpSpPr>
          <xdr:grpSpPr bwMode="auto">
            <a:xfrm>
              <a:off x="13165668" y="1259417"/>
              <a:ext cx="628660" cy="171450"/>
              <a:chOff x="9794897" y="1273175"/>
              <a:chExt cx="746094" cy="149225"/>
            </a:xfrm>
          </xdr:grpSpPr>
          <xdr:sp macro="" textlink="">
            <xdr:nvSpPr>
              <xdr:cNvPr id="45750" name="LeftSide" descr="Sides" hidden="1">
                <a:extLst>
                  <a:ext uri="{63B3BB69-23CF-44E3-9099-C40C66FF867C}">
                    <a14:compatExt spid="_x0000_s45750"/>
                  </a:ext>
                  <a:ext uri="{FF2B5EF4-FFF2-40B4-BE49-F238E27FC236}">
                    <a16:creationId xmlns:a16="http://schemas.microsoft.com/office/drawing/2014/main" id="{00000000-0008-0000-0000-0000B6B2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1" name="RightSide" descr="Sides" hidden="1">
                <a:extLst>
                  <a:ext uri="{63B3BB69-23CF-44E3-9099-C40C66FF867C}">
                    <a14:compatExt spid="_x0000_s45751"/>
                  </a:ext>
                  <a:ext uri="{FF2B5EF4-FFF2-40B4-BE49-F238E27FC236}">
                    <a16:creationId xmlns:a16="http://schemas.microsoft.com/office/drawing/2014/main" id="{00000000-0008-0000-0000-0000B7B2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2" name="TopSide" descr="Sides" hidden="1">
                <a:extLst>
                  <a:ext uri="{63B3BB69-23CF-44E3-9099-C40C66FF867C}">
                    <a14:compatExt spid="_x0000_s45752"/>
                  </a:ext>
                  <a:ext uri="{FF2B5EF4-FFF2-40B4-BE49-F238E27FC236}">
                    <a16:creationId xmlns:a16="http://schemas.microsoft.com/office/drawing/2014/main" id="{00000000-0008-0000-0000-0000B8B2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3" name="BottomSide" descr="Sides" hidden="1">
                <a:extLst>
                  <a:ext uri="{63B3BB69-23CF-44E3-9099-C40C66FF867C}">
                    <a14:compatExt spid="_x0000_s45753"/>
                  </a:ext>
                  <a:ext uri="{FF2B5EF4-FFF2-40B4-BE49-F238E27FC236}">
                    <a16:creationId xmlns:a16="http://schemas.microsoft.com/office/drawing/2014/main" id="{00000000-0008-0000-0000-0000B9B2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7</xdr:row>
          <xdr:rowOff>19050</xdr:rowOff>
        </xdr:from>
        <xdr:to>
          <xdr:col>20</xdr:col>
          <xdr:colOff>619125</xdr:colOff>
          <xdr:row>7</xdr:row>
          <xdr:rowOff>171450</xdr:rowOff>
        </xdr:to>
        <xdr:grpSp>
          <xdr:nvGrpSpPr>
            <xdr:cNvPr id="53566" name="Group 17">
              <a:extLst>
                <a:ext uri="{FF2B5EF4-FFF2-40B4-BE49-F238E27FC236}">
                  <a16:creationId xmlns:a16="http://schemas.microsoft.com/office/drawing/2014/main" id="{00000000-0008-0000-0000-00003ED10000}"/>
                </a:ext>
              </a:extLst>
            </xdr:cNvPr>
            <xdr:cNvGrpSpPr>
              <a:grpSpLocks/>
            </xdr:cNvGrpSpPr>
          </xdr:nvGrpSpPr>
          <xdr:grpSpPr bwMode="auto">
            <a:xfrm>
              <a:off x="13165668" y="1479550"/>
              <a:ext cx="619117" cy="152400"/>
              <a:chOff x="9794904" y="1273175"/>
              <a:chExt cx="746136" cy="149225"/>
            </a:xfrm>
          </xdr:grpSpPr>
          <xdr:sp macro="" textlink="">
            <xdr:nvSpPr>
              <xdr:cNvPr id="45754" name="LeftSide" descr="Sides" hidden="1">
                <a:extLst>
                  <a:ext uri="{63B3BB69-23CF-44E3-9099-C40C66FF867C}">
                    <a14:compatExt spid="_x0000_s45754"/>
                  </a:ext>
                  <a:ext uri="{FF2B5EF4-FFF2-40B4-BE49-F238E27FC236}">
                    <a16:creationId xmlns:a16="http://schemas.microsoft.com/office/drawing/2014/main" id="{00000000-0008-0000-0000-0000BA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5" name="RightSide" descr="Sides" hidden="1">
                <a:extLst>
                  <a:ext uri="{63B3BB69-23CF-44E3-9099-C40C66FF867C}">
                    <a14:compatExt spid="_x0000_s45755"/>
                  </a:ext>
                  <a:ext uri="{FF2B5EF4-FFF2-40B4-BE49-F238E27FC236}">
                    <a16:creationId xmlns:a16="http://schemas.microsoft.com/office/drawing/2014/main" id="{00000000-0008-0000-0000-0000BB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6" name="TopSide" descr="Sides" hidden="1">
                <a:extLst>
                  <a:ext uri="{63B3BB69-23CF-44E3-9099-C40C66FF867C}">
                    <a14:compatExt spid="_x0000_s45756"/>
                  </a:ext>
                  <a:ext uri="{FF2B5EF4-FFF2-40B4-BE49-F238E27FC236}">
                    <a16:creationId xmlns:a16="http://schemas.microsoft.com/office/drawing/2014/main" id="{00000000-0008-0000-0000-0000BC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7" name="BottomSide" descr="Sides" hidden="1">
                <a:extLst>
                  <a:ext uri="{63B3BB69-23CF-44E3-9099-C40C66FF867C}">
                    <a14:compatExt spid="_x0000_s45757"/>
                  </a:ext>
                  <a:ext uri="{FF2B5EF4-FFF2-40B4-BE49-F238E27FC236}">
                    <a16:creationId xmlns:a16="http://schemas.microsoft.com/office/drawing/2014/main" id="{00000000-0008-0000-0000-0000BD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8</xdr:row>
          <xdr:rowOff>28575</xdr:rowOff>
        </xdr:from>
        <xdr:to>
          <xdr:col>20</xdr:col>
          <xdr:colOff>619125</xdr:colOff>
          <xdr:row>8</xdr:row>
          <xdr:rowOff>171450</xdr:rowOff>
        </xdr:to>
        <xdr:grpSp>
          <xdr:nvGrpSpPr>
            <xdr:cNvPr id="53567" name="Group 22">
              <a:extLst>
                <a:ext uri="{FF2B5EF4-FFF2-40B4-BE49-F238E27FC236}">
                  <a16:creationId xmlns:a16="http://schemas.microsoft.com/office/drawing/2014/main" id="{00000000-0008-0000-0000-00003FD10000}"/>
                </a:ext>
              </a:extLst>
            </xdr:cNvPr>
            <xdr:cNvGrpSpPr>
              <a:grpSpLocks/>
            </xdr:cNvGrpSpPr>
          </xdr:nvGrpSpPr>
          <xdr:grpSpPr bwMode="auto">
            <a:xfrm>
              <a:off x="13165668" y="1690158"/>
              <a:ext cx="619117" cy="142875"/>
              <a:chOff x="9794904" y="1273175"/>
              <a:chExt cx="746136" cy="149225"/>
            </a:xfrm>
          </xdr:grpSpPr>
          <xdr:sp macro="" textlink="">
            <xdr:nvSpPr>
              <xdr:cNvPr id="45758" name="LeftSide" descr="Sides" hidden="1">
                <a:extLst>
                  <a:ext uri="{63B3BB69-23CF-44E3-9099-C40C66FF867C}">
                    <a14:compatExt spid="_x0000_s45758"/>
                  </a:ext>
                  <a:ext uri="{FF2B5EF4-FFF2-40B4-BE49-F238E27FC236}">
                    <a16:creationId xmlns:a16="http://schemas.microsoft.com/office/drawing/2014/main" id="{00000000-0008-0000-0000-0000BE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59" name="RightSide" descr="Sides" hidden="1">
                <a:extLst>
                  <a:ext uri="{63B3BB69-23CF-44E3-9099-C40C66FF867C}">
                    <a14:compatExt spid="_x0000_s45759"/>
                  </a:ext>
                  <a:ext uri="{FF2B5EF4-FFF2-40B4-BE49-F238E27FC236}">
                    <a16:creationId xmlns:a16="http://schemas.microsoft.com/office/drawing/2014/main" id="{00000000-0008-0000-0000-0000BF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0" name="TopSide" descr="Sides" hidden="1">
                <a:extLst>
                  <a:ext uri="{63B3BB69-23CF-44E3-9099-C40C66FF867C}">
                    <a14:compatExt spid="_x0000_s45760"/>
                  </a:ext>
                  <a:ext uri="{FF2B5EF4-FFF2-40B4-BE49-F238E27FC236}">
                    <a16:creationId xmlns:a16="http://schemas.microsoft.com/office/drawing/2014/main" id="{00000000-0008-0000-0000-0000C0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1" name="BottomSide" descr="Sides" hidden="1">
                <a:extLst>
                  <a:ext uri="{63B3BB69-23CF-44E3-9099-C40C66FF867C}">
                    <a14:compatExt spid="_x0000_s45761"/>
                  </a:ext>
                  <a:ext uri="{FF2B5EF4-FFF2-40B4-BE49-F238E27FC236}">
                    <a16:creationId xmlns:a16="http://schemas.microsoft.com/office/drawing/2014/main" id="{00000000-0008-0000-0000-0000C1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9</xdr:row>
          <xdr:rowOff>28575</xdr:rowOff>
        </xdr:from>
        <xdr:to>
          <xdr:col>20</xdr:col>
          <xdr:colOff>619125</xdr:colOff>
          <xdr:row>9</xdr:row>
          <xdr:rowOff>171450</xdr:rowOff>
        </xdr:to>
        <xdr:grpSp>
          <xdr:nvGrpSpPr>
            <xdr:cNvPr id="53568" name="Group 27">
              <a:extLst>
                <a:ext uri="{FF2B5EF4-FFF2-40B4-BE49-F238E27FC236}">
                  <a16:creationId xmlns:a16="http://schemas.microsoft.com/office/drawing/2014/main" id="{00000000-0008-0000-0000-000040D10000}"/>
                </a:ext>
              </a:extLst>
            </xdr:cNvPr>
            <xdr:cNvGrpSpPr>
              <a:grpSpLocks/>
            </xdr:cNvGrpSpPr>
          </xdr:nvGrpSpPr>
          <xdr:grpSpPr bwMode="auto">
            <a:xfrm>
              <a:off x="13165668" y="1891242"/>
              <a:ext cx="619117" cy="142875"/>
              <a:chOff x="9794904" y="1273175"/>
              <a:chExt cx="746136" cy="149225"/>
            </a:xfrm>
          </xdr:grpSpPr>
          <xdr:sp macro="" textlink="">
            <xdr:nvSpPr>
              <xdr:cNvPr id="45762" name="LeftSide" descr="Sides" hidden="1">
                <a:extLst>
                  <a:ext uri="{63B3BB69-23CF-44E3-9099-C40C66FF867C}">
                    <a14:compatExt spid="_x0000_s45762"/>
                  </a:ext>
                  <a:ext uri="{FF2B5EF4-FFF2-40B4-BE49-F238E27FC236}">
                    <a16:creationId xmlns:a16="http://schemas.microsoft.com/office/drawing/2014/main" id="{00000000-0008-0000-0000-0000C2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3" name="RightSide" descr="Sides" hidden="1">
                <a:extLst>
                  <a:ext uri="{63B3BB69-23CF-44E3-9099-C40C66FF867C}">
                    <a14:compatExt spid="_x0000_s45763"/>
                  </a:ext>
                  <a:ext uri="{FF2B5EF4-FFF2-40B4-BE49-F238E27FC236}">
                    <a16:creationId xmlns:a16="http://schemas.microsoft.com/office/drawing/2014/main" id="{00000000-0008-0000-0000-0000C3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4" name="TopSide" descr="Sides" hidden="1">
                <a:extLst>
                  <a:ext uri="{63B3BB69-23CF-44E3-9099-C40C66FF867C}">
                    <a14:compatExt spid="_x0000_s45764"/>
                  </a:ext>
                  <a:ext uri="{FF2B5EF4-FFF2-40B4-BE49-F238E27FC236}">
                    <a16:creationId xmlns:a16="http://schemas.microsoft.com/office/drawing/2014/main" id="{00000000-0008-0000-0000-0000C4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5" name="BottomSide" descr="Sides" hidden="1">
                <a:extLst>
                  <a:ext uri="{63B3BB69-23CF-44E3-9099-C40C66FF867C}">
                    <a14:compatExt spid="_x0000_s45765"/>
                  </a:ext>
                  <a:ext uri="{FF2B5EF4-FFF2-40B4-BE49-F238E27FC236}">
                    <a16:creationId xmlns:a16="http://schemas.microsoft.com/office/drawing/2014/main" id="{00000000-0008-0000-0000-0000C5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10</xdr:row>
          <xdr:rowOff>28575</xdr:rowOff>
        </xdr:from>
        <xdr:to>
          <xdr:col>20</xdr:col>
          <xdr:colOff>619125</xdr:colOff>
          <xdr:row>10</xdr:row>
          <xdr:rowOff>180975</xdr:rowOff>
        </xdr:to>
        <xdr:grpSp>
          <xdr:nvGrpSpPr>
            <xdr:cNvPr id="53569" name="Group 32">
              <a:extLst>
                <a:ext uri="{FF2B5EF4-FFF2-40B4-BE49-F238E27FC236}">
                  <a16:creationId xmlns:a16="http://schemas.microsoft.com/office/drawing/2014/main" id="{00000000-0008-0000-0000-000041D10000}"/>
                </a:ext>
              </a:extLst>
            </xdr:cNvPr>
            <xdr:cNvGrpSpPr>
              <a:grpSpLocks/>
            </xdr:cNvGrpSpPr>
          </xdr:nvGrpSpPr>
          <xdr:grpSpPr bwMode="auto">
            <a:xfrm>
              <a:off x="13165668" y="2092325"/>
              <a:ext cx="619117" cy="152400"/>
              <a:chOff x="9794904" y="1273175"/>
              <a:chExt cx="746136" cy="149225"/>
            </a:xfrm>
          </xdr:grpSpPr>
          <xdr:sp macro="" textlink="">
            <xdr:nvSpPr>
              <xdr:cNvPr id="45766" name="LeftSide" descr="Sides" hidden="1">
                <a:extLst>
                  <a:ext uri="{63B3BB69-23CF-44E3-9099-C40C66FF867C}">
                    <a14:compatExt spid="_x0000_s45766"/>
                  </a:ext>
                  <a:ext uri="{FF2B5EF4-FFF2-40B4-BE49-F238E27FC236}">
                    <a16:creationId xmlns:a16="http://schemas.microsoft.com/office/drawing/2014/main" id="{00000000-0008-0000-0000-0000C6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7" name="RightSide" descr="Sides" hidden="1">
                <a:extLst>
                  <a:ext uri="{63B3BB69-23CF-44E3-9099-C40C66FF867C}">
                    <a14:compatExt spid="_x0000_s45767"/>
                  </a:ext>
                  <a:ext uri="{FF2B5EF4-FFF2-40B4-BE49-F238E27FC236}">
                    <a16:creationId xmlns:a16="http://schemas.microsoft.com/office/drawing/2014/main" id="{00000000-0008-0000-0000-0000C7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8" name="TopSide" descr="Sides" hidden="1">
                <a:extLst>
                  <a:ext uri="{63B3BB69-23CF-44E3-9099-C40C66FF867C}">
                    <a14:compatExt spid="_x0000_s45768"/>
                  </a:ext>
                  <a:ext uri="{FF2B5EF4-FFF2-40B4-BE49-F238E27FC236}">
                    <a16:creationId xmlns:a16="http://schemas.microsoft.com/office/drawing/2014/main" id="{00000000-0008-0000-0000-0000C8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69" name="BottomSide" descr="Sides" hidden="1">
                <a:extLst>
                  <a:ext uri="{63B3BB69-23CF-44E3-9099-C40C66FF867C}">
                    <a14:compatExt spid="_x0000_s45769"/>
                  </a:ext>
                  <a:ext uri="{FF2B5EF4-FFF2-40B4-BE49-F238E27FC236}">
                    <a16:creationId xmlns:a16="http://schemas.microsoft.com/office/drawing/2014/main" id="{00000000-0008-0000-0000-0000C9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11</xdr:row>
          <xdr:rowOff>28575</xdr:rowOff>
        </xdr:from>
        <xdr:to>
          <xdr:col>20</xdr:col>
          <xdr:colOff>619125</xdr:colOff>
          <xdr:row>11</xdr:row>
          <xdr:rowOff>180975</xdr:rowOff>
        </xdr:to>
        <xdr:grpSp>
          <xdr:nvGrpSpPr>
            <xdr:cNvPr id="53570" name="Group 37">
              <a:extLst>
                <a:ext uri="{FF2B5EF4-FFF2-40B4-BE49-F238E27FC236}">
                  <a16:creationId xmlns:a16="http://schemas.microsoft.com/office/drawing/2014/main" id="{00000000-0008-0000-0000-000042D10000}"/>
                </a:ext>
              </a:extLst>
            </xdr:cNvPr>
            <xdr:cNvGrpSpPr>
              <a:grpSpLocks/>
            </xdr:cNvGrpSpPr>
          </xdr:nvGrpSpPr>
          <xdr:grpSpPr bwMode="auto">
            <a:xfrm>
              <a:off x="13165668" y="2293408"/>
              <a:ext cx="619117" cy="152400"/>
              <a:chOff x="9794904" y="1273175"/>
              <a:chExt cx="746136" cy="149225"/>
            </a:xfrm>
          </xdr:grpSpPr>
          <xdr:sp macro="" textlink="">
            <xdr:nvSpPr>
              <xdr:cNvPr id="45770" name="LeftSide" descr="Sides" hidden="1">
                <a:extLst>
                  <a:ext uri="{63B3BB69-23CF-44E3-9099-C40C66FF867C}">
                    <a14:compatExt spid="_x0000_s45770"/>
                  </a:ext>
                  <a:ext uri="{FF2B5EF4-FFF2-40B4-BE49-F238E27FC236}">
                    <a16:creationId xmlns:a16="http://schemas.microsoft.com/office/drawing/2014/main" id="{00000000-0008-0000-0000-0000CA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1" name="RightSide" descr="Sides" hidden="1">
                <a:extLst>
                  <a:ext uri="{63B3BB69-23CF-44E3-9099-C40C66FF867C}">
                    <a14:compatExt spid="_x0000_s45771"/>
                  </a:ext>
                  <a:ext uri="{FF2B5EF4-FFF2-40B4-BE49-F238E27FC236}">
                    <a16:creationId xmlns:a16="http://schemas.microsoft.com/office/drawing/2014/main" id="{00000000-0008-0000-0000-0000CB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2" name="TopSide" descr="Sides" hidden="1">
                <a:extLst>
                  <a:ext uri="{63B3BB69-23CF-44E3-9099-C40C66FF867C}">
                    <a14:compatExt spid="_x0000_s45772"/>
                  </a:ext>
                  <a:ext uri="{FF2B5EF4-FFF2-40B4-BE49-F238E27FC236}">
                    <a16:creationId xmlns:a16="http://schemas.microsoft.com/office/drawing/2014/main" id="{00000000-0008-0000-0000-0000CC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3" name="BottomSide" descr="Sides" hidden="1">
                <a:extLst>
                  <a:ext uri="{63B3BB69-23CF-44E3-9099-C40C66FF867C}">
                    <a14:compatExt spid="_x0000_s45773"/>
                  </a:ext>
                  <a:ext uri="{FF2B5EF4-FFF2-40B4-BE49-F238E27FC236}">
                    <a16:creationId xmlns:a16="http://schemas.microsoft.com/office/drawing/2014/main" id="{00000000-0008-0000-0000-0000CD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12</xdr:row>
          <xdr:rowOff>28575</xdr:rowOff>
        </xdr:from>
        <xdr:to>
          <xdr:col>20</xdr:col>
          <xdr:colOff>619125</xdr:colOff>
          <xdr:row>12</xdr:row>
          <xdr:rowOff>180975</xdr:rowOff>
        </xdr:to>
        <xdr:grpSp>
          <xdr:nvGrpSpPr>
            <xdr:cNvPr id="53571" name="Group 42">
              <a:extLst>
                <a:ext uri="{FF2B5EF4-FFF2-40B4-BE49-F238E27FC236}">
                  <a16:creationId xmlns:a16="http://schemas.microsoft.com/office/drawing/2014/main" id="{00000000-0008-0000-0000-000043D10000}"/>
                </a:ext>
              </a:extLst>
            </xdr:cNvPr>
            <xdr:cNvGrpSpPr>
              <a:grpSpLocks/>
            </xdr:cNvGrpSpPr>
          </xdr:nvGrpSpPr>
          <xdr:grpSpPr bwMode="auto">
            <a:xfrm>
              <a:off x="13165668" y="2494492"/>
              <a:ext cx="619117" cy="152400"/>
              <a:chOff x="9794904" y="1273175"/>
              <a:chExt cx="746136" cy="149225"/>
            </a:xfrm>
          </xdr:grpSpPr>
          <xdr:sp macro="" textlink="">
            <xdr:nvSpPr>
              <xdr:cNvPr id="45774" name="LeftSide" descr="Sides" hidden="1">
                <a:extLst>
                  <a:ext uri="{63B3BB69-23CF-44E3-9099-C40C66FF867C}">
                    <a14:compatExt spid="_x0000_s45774"/>
                  </a:ext>
                  <a:ext uri="{FF2B5EF4-FFF2-40B4-BE49-F238E27FC236}">
                    <a16:creationId xmlns:a16="http://schemas.microsoft.com/office/drawing/2014/main" id="{00000000-0008-0000-0000-0000CE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5" name="RightSide" descr="Sides" hidden="1">
                <a:extLst>
                  <a:ext uri="{63B3BB69-23CF-44E3-9099-C40C66FF867C}">
                    <a14:compatExt spid="_x0000_s45775"/>
                  </a:ext>
                  <a:ext uri="{FF2B5EF4-FFF2-40B4-BE49-F238E27FC236}">
                    <a16:creationId xmlns:a16="http://schemas.microsoft.com/office/drawing/2014/main" id="{00000000-0008-0000-0000-0000CF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6" name="TopSide" descr="Sides" hidden="1">
                <a:extLst>
                  <a:ext uri="{63B3BB69-23CF-44E3-9099-C40C66FF867C}">
                    <a14:compatExt spid="_x0000_s45776"/>
                  </a:ext>
                  <a:ext uri="{FF2B5EF4-FFF2-40B4-BE49-F238E27FC236}">
                    <a16:creationId xmlns:a16="http://schemas.microsoft.com/office/drawing/2014/main" id="{00000000-0008-0000-0000-0000D0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7" name="BottomSide" descr="Sides" hidden="1">
                <a:extLst>
                  <a:ext uri="{63B3BB69-23CF-44E3-9099-C40C66FF867C}">
                    <a14:compatExt spid="_x0000_s45777"/>
                  </a:ext>
                  <a:ext uri="{FF2B5EF4-FFF2-40B4-BE49-F238E27FC236}">
                    <a16:creationId xmlns:a16="http://schemas.microsoft.com/office/drawing/2014/main" id="{00000000-0008-0000-0000-0000D1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13</xdr:row>
          <xdr:rowOff>28575</xdr:rowOff>
        </xdr:from>
        <xdr:to>
          <xdr:col>20</xdr:col>
          <xdr:colOff>619125</xdr:colOff>
          <xdr:row>13</xdr:row>
          <xdr:rowOff>180975</xdr:rowOff>
        </xdr:to>
        <xdr:grpSp>
          <xdr:nvGrpSpPr>
            <xdr:cNvPr id="53572" name="Group 47">
              <a:extLst>
                <a:ext uri="{FF2B5EF4-FFF2-40B4-BE49-F238E27FC236}">
                  <a16:creationId xmlns:a16="http://schemas.microsoft.com/office/drawing/2014/main" id="{00000000-0008-0000-0000-000044D10000}"/>
                </a:ext>
              </a:extLst>
            </xdr:cNvPr>
            <xdr:cNvGrpSpPr>
              <a:grpSpLocks/>
            </xdr:cNvGrpSpPr>
          </xdr:nvGrpSpPr>
          <xdr:grpSpPr bwMode="auto">
            <a:xfrm>
              <a:off x="13165668" y="2695575"/>
              <a:ext cx="619117" cy="152400"/>
              <a:chOff x="9794904" y="1273175"/>
              <a:chExt cx="746136" cy="149225"/>
            </a:xfrm>
          </xdr:grpSpPr>
          <xdr:sp macro="" textlink="">
            <xdr:nvSpPr>
              <xdr:cNvPr id="45778" name="LeftSide" descr="Sides" hidden="1">
                <a:extLst>
                  <a:ext uri="{63B3BB69-23CF-44E3-9099-C40C66FF867C}">
                    <a14:compatExt spid="_x0000_s45778"/>
                  </a:ext>
                  <a:ext uri="{FF2B5EF4-FFF2-40B4-BE49-F238E27FC236}">
                    <a16:creationId xmlns:a16="http://schemas.microsoft.com/office/drawing/2014/main" id="{00000000-0008-0000-0000-0000D2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79" name="RightSide" descr="Sides" hidden="1">
                <a:extLst>
                  <a:ext uri="{63B3BB69-23CF-44E3-9099-C40C66FF867C}">
                    <a14:compatExt spid="_x0000_s45779"/>
                  </a:ext>
                  <a:ext uri="{FF2B5EF4-FFF2-40B4-BE49-F238E27FC236}">
                    <a16:creationId xmlns:a16="http://schemas.microsoft.com/office/drawing/2014/main" id="{00000000-0008-0000-0000-0000D3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0" name="TopSide" descr="Sides" hidden="1">
                <a:extLst>
                  <a:ext uri="{63B3BB69-23CF-44E3-9099-C40C66FF867C}">
                    <a14:compatExt spid="_x0000_s45780"/>
                  </a:ext>
                  <a:ext uri="{FF2B5EF4-FFF2-40B4-BE49-F238E27FC236}">
                    <a16:creationId xmlns:a16="http://schemas.microsoft.com/office/drawing/2014/main" id="{00000000-0008-0000-0000-0000D4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1" name="BottomSide" descr="Sides" hidden="1">
                <a:extLst>
                  <a:ext uri="{63B3BB69-23CF-44E3-9099-C40C66FF867C}">
                    <a14:compatExt spid="_x0000_s45781"/>
                  </a:ext>
                  <a:ext uri="{FF2B5EF4-FFF2-40B4-BE49-F238E27FC236}">
                    <a16:creationId xmlns:a16="http://schemas.microsoft.com/office/drawing/2014/main" id="{00000000-0008-0000-0000-0000D5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14</xdr:row>
          <xdr:rowOff>28575</xdr:rowOff>
        </xdr:from>
        <xdr:to>
          <xdr:col>20</xdr:col>
          <xdr:colOff>619125</xdr:colOff>
          <xdr:row>14</xdr:row>
          <xdr:rowOff>180975</xdr:rowOff>
        </xdr:to>
        <xdr:grpSp>
          <xdr:nvGrpSpPr>
            <xdr:cNvPr id="53573" name="Group 52">
              <a:extLst>
                <a:ext uri="{FF2B5EF4-FFF2-40B4-BE49-F238E27FC236}">
                  <a16:creationId xmlns:a16="http://schemas.microsoft.com/office/drawing/2014/main" id="{00000000-0008-0000-0000-000045D10000}"/>
                </a:ext>
              </a:extLst>
            </xdr:cNvPr>
            <xdr:cNvGrpSpPr>
              <a:grpSpLocks/>
            </xdr:cNvGrpSpPr>
          </xdr:nvGrpSpPr>
          <xdr:grpSpPr bwMode="auto">
            <a:xfrm>
              <a:off x="13165668" y="2896658"/>
              <a:ext cx="619117" cy="152400"/>
              <a:chOff x="9794904" y="1273175"/>
              <a:chExt cx="746136" cy="149225"/>
            </a:xfrm>
          </xdr:grpSpPr>
          <xdr:sp macro="" textlink="">
            <xdr:nvSpPr>
              <xdr:cNvPr id="45782" name="LeftSide" descr="Sides" hidden="1">
                <a:extLst>
                  <a:ext uri="{63B3BB69-23CF-44E3-9099-C40C66FF867C}">
                    <a14:compatExt spid="_x0000_s45782"/>
                  </a:ext>
                  <a:ext uri="{FF2B5EF4-FFF2-40B4-BE49-F238E27FC236}">
                    <a16:creationId xmlns:a16="http://schemas.microsoft.com/office/drawing/2014/main" id="{00000000-0008-0000-0000-0000D6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3" name="RightSide" descr="Sides" hidden="1">
                <a:extLst>
                  <a:ext uri="{63B3BB69-23CF-44E3-9099-C40C66FF867C}">
                    <a14:compatExt spid="_x0000_s45783"/>
                  </a:ext>
                  <a:ext uri="{FF2B5EF4-FFF2-40B4-BE49-F238E27FC236}">
                    <a16:creationId xmlns:a16="http://schemas.microsoft.com/office/drawing/2014/main" id="{00000000-0008-0000-0000-0000D7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4" name="TopSide" descr="Sides" hidden="1">
                <a:extLst>
                  <a:ext uri="{63B3BB69-23CF-44E3-9099-C40C66FF867C}">
                    <a14:compatExt spid="_x0000_s45784"/>
                  </a:ext>
                  <a:ext uri="{FF2B5EF4-FFF2-40B4-BE49-F238E27FC236}">
                    <a16:creationId xmlns:a16="http://schemas.microsoft.com/office/drawing/2014/main" id="{00000000-0008-0000-0000-0000D8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5" name="BottomSide" descr="Sides" hidden="1">
                <a:extLst>
                  <a:ext uri="{63B3BB69-23CF-44E3-9099-C40C66FF867C}">
                    <a14:compatExt spid="_x0000_s45785"/>
                  </a:ext>
                  <a:ext uri="{FF2B5EF4-FFF2-40B4-BE49-F238E27FC236}">
                    <a16:creationId xmlns:a16="http://schemas.microsoft.com/office/drawing/2014/main" id="{00000000-0008-0000-0000-0000D9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15</xdr:row>
          <xdr:rowOff>38100</xdr:rowOff>
        </xdr:from>
        <xdr:to>
          <xdr:col>20</xdr:col>
          <xdr:colOff>619125</xdr:colOff>
          <xdr:row>15</xdr:row>
          <xdr:rowOff>180975</xdr:rowOff>
        </xdr:to>
        <xdr:grpSp>
          <xdr:nvGrpSpPr>
            <xdr:cNvPr id="53574" name="Group 57">
              <a:extLst>
                <a:ext uri="{FF2B5EF4-FFF2-40B4-BE49-F238E27FC236}">
                  <a16:creationId xmlns:a16="http://schemas.microsoft.com/office/drawing/2014/main" id="{00000000-0008-0000-0000-000046D10000}"/>
                </a:ext>
              </a:extLst>
            </xdr:cNvPr>
            <xdr:cNvGrpSpPr>
              <a:grpSpLocks/>
            </xdr:cNvGrpSpPr>
          </xdr:nvGrpSpPr>
          <xdr:grpSpPr bwMode="auto">
            <a:xfrm>
              <a:off x="13165668" y="3107267"/>
              <a:ext cx="619117" cy="142875"/>
              <a:chOff x="9794904" y="1273175"/>
              <a:chExt cx="746136" cy="149225"/>
            </a:xfrm>
          </xdr:grpSpPr>
          <xdr:sp macro="" textlink="">
            <xdr:nvSpPr>
              <xdr:cNvPr id="45786" name="LeftSide" descr="Sides" hidden="1">
                <a:extLst>
                  <a:ext uri="{63B3BB69-23CF-44E3-9099-C40C66FF867C}">
                    <a14:compatExt spid="_x0000_s45786"/>
                  </a:ext>
                  <a:ext uri="{FF2B5EF4-FFF2-40B4-BE49-F238E27FC236}">
                    <a16:creationId xmlns:a16="http://schemas.microsoft.com/office/drawing/2014/main" id="{00000000-0008-0000-0000-0000DA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7" name="RightSide" descr="Sides" hidden="1">
                <a:extLst>
                  <a:ext uri="{63B3BB69-23CF-44E3-9099-C40C66FF867C}">
                    <a14:compatExt spid="_x0000_s45787"/>
                  </a:ext>
                  <a:ext uri="{FF2B5EF4-FFF2-40B4-BE49-F238E27FC236}">
                    <a16:creationId xmlns:a16="http://schemas.microsoft.com/office/drawing/2014/main" id="{00000000-0008-0000-0000-0000DB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8" name="TopSide" descr="Sides" hidden="1">
                <a:extLst>
                  <a:ext uri="{63B3BB69-23CF-44E3-9099-C40C66FF867C}">
                    <a14:compatExt spid="_x0000_s45788"/>
                  </a:ext>
                  <a:ext uri="{FF2B5EF4-FFF2-40B4-BE49-F238E27FC236}">
                    <a16:creationId xmlns:a16="http://schemas.microsoft.com/office/drawing/2014/main" id="{00000000-0008-0000-0000-0000DC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89" name="BottomSide" descr="Sides" hidden="1">
                <a:extLst>
                  <a:ext uri="{63B3BB69-23CF-44E3-9099-C40C66FF867C}">
                    <a14:compatExt spid="_x0000_s45789"/>
                  </a:ext>
                  <a:ext uri="{FF2B5EF4-FFF2-40B4-BE49-F238E27FC236}">
                    <a16:creationId xmlns:a16="http://schemas.microsoft.com/office/drawing/2014/main" id="{00000000-0008-0000-0000-0000DD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16</xdr:row>
          <xdr:rowOff>38100</xdr:rowOff>
        </xdr:from>
        <xdr:to>
          <xdr:col>20</xdr:col>
          <xdr:colOff>619125</xdr:colOff>
          <xdr:row>16</xdr:row>
          <xdr:rowOff>180975</xdr:rowOff>
        </xdr:to>
        <xdr:grpSp>
          <xdr:nvGrpSpPr>
            <xdr:cNvPr id="53575" name="Group 62">
              <a:extLst>
                <a:ext uri="{FF2B5EF4-FFF2-40B4-BE49-F238E27FC236}">
                  <a16:creationId xmlns:a16="http://schemas.microsoft.com/office/drawing/2014/main" id="{00000000-0008-0000-0000-000047D10000}"/>
                </a:ext>
              </a:extLst>
            </xdr:cNvPr>
            <xdr:cNvGrpSpPr>
              <a:grpSpLocks/>
            </xdr:cNvGrpSpPr>
          </xdr:nvGrpSpPr>
          <xdr:grpSpPr bwMode="auto">
            <a:xfrm>
              <a:off x="13165668" y="3308350"/>
              <a:ext cx="619117" cy="142875"/>
              <a:chOff x="9794904" y="1273175"/>
              <a:chExt cx="746136" cy="149225"/>
            </a:xfrm>
          </xdr:grpSpPr>
          <xdr:sp macro="" textlink="">
            <xdr:nvSpPr>
              <xdr:cNvPr id="45790" name="LeftSide" descr="Sides" hidden="1">
                <a:extLst>
                  <a:ext uri="{63B3BB69-23CF-44E3-9099-C40C66FF867C}">
                    <a14:compatExt spid="_x0000_s45790"/>
                  </a:ext>
                  <a:ext uri="{FF2B5EF4-FFF2-40B4-BE49-F238E27FC236}">
                    <a16:creationId xmlns:a16="http://schemas.microsoft.com/office/drawing/2014/main" id="{00000000-0008-0000-0000-0000DE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1" name="RightSide" descr="Sides" hidden="1">
                <a:extLst>
                  <a:ext uri="{63B3BB69-23CF-44E3-9099-C40C66FF867C}">
                    <a14:compatExt spid="_x0000_s45791"/>
                  </a:ext>
                  <a:ext uri="{FF2B5EF4-FFF2-40B4-BE49-F238E27FC236}">
                    <a16:creationId xmlns:a16="http://schemas.microsoft.com/office/drawing/2014/main" id="{00000000-0008-0000-0000-0000DF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2" name="TopSide" descr="Sides" hidden="1">
                <a:extLst>
                  <a:ext uri="{63B3BB69-23CF-44E3-9099-C40C66FF867C}">
                    <a14:compatExt spid="_x0000_s45792"/>
                  </a:ext>
                  <a:ext uri="{FF2B5EF4-FFF2-40B4-BE49-F238E27FC236}">
                    <a16:creationId xmlns:a16="http://schemas.microsoft.com/office/drawing/2014/main" id="{00000000-0008-0000-0000-0000E0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3" name="BottomSide" descr="Sides" hidden="1">
                <a:extLst>
                  <a:ext uri="{63B3BB69-23CF-44E3-9099-C40C66FF867C}">
                    <a14:compatExt spid="_x0000_s45793"/>
                  </a:ext>
                  <a:ext uri="{FF2B5EF4-FFF2-40B4-BE49-F238E27FC236}">
                    <a16:creationId xmlns:a16="http://schemas.microsoft.com/office/drawing/2014/main" id="{00000000-0008-0000-0000-0000E1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17</xdr:row>
          <xdr:rowOff>38100</xdr:rowOff>
        </xdr:from>
        <xdr:to>
          <xdr:col>20</xdr:col>
          <xdr:colOff>619125</xdr:colOff>
          <xdr:row>17</xdr:row>
          <xdr:rowOff>190500</xdr:rowOff>
        </xdr:to>
        <xdr:grpSp>
          <xdr:nvGrpSpPr>
            <xdr:cNvPr id="53576" name="Group 67">
              <a:extLst>
                <a:ext uri="{FF2B5EF4-FFF2-40B4-BE49-F238E27FC236}">
                  <a16:creationId xmlns:a16="http://schemas.microsoft.com/office/drawing/2014/main" id="{00000000-0008-0000-0000-000048D10000}"/>
                </a:ext>
              </a:extLst>
            </xdr:cNvPr>
            <xdr:cNvGrpSpPr>
              <a:grpSpLocks/>
            </xdr:cNvGrpSpPr>
          </xdr:nvGrpSpPr>
          <xdr:grpSpPr bwMode="auto">
            <a:xfrm>
              <a:off x="13165668" y="3509433"/>
              <a:ext cx="619117" cy="152400"/>
              <a:chOff x="9794904" y="1273175"/>
              <a:chExt cx="746136" cy="149225"/>
            </a:xfrm>
          </xdr:grpSpPr>
          <xdr:sp macro="" textlink="">
            <xdr:nvSpPr>
              <xdr:cNvPr id="45794" name="LeftSide" descr="Sides" hidden="1">
                <a:extLst>
                  <a:ext uri="{63B3BB69-23CF-44E3-9099-C40C66FF867C}">
                    <a14:compatExt spid="_x0000_s45794"/>
                  </a:ext>
                  <a:ext uri="{FF2B5EF4-FFF2-40B4-BE49-F238E27FC236}">
                    <a16:creationId xmlns:a16="http://schemas.microsoft.com/office/drawing/2014/main" id="{00000000-0008-0000-0000-0000E2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5" name="RightSide" descr="Sides" hidden="1">
                <a:extLst>
                  <a:ext uri="{63B3BB69-23CF-44E3-9099-C40C66FF867C}">
                    <a14:compatExt spid="_x0000_s45795"/>
                  </a:ext>
                  <a:ext uri="{FF2B5EF4-FFF2-40B4-BE49-F238E27FC236}">
                    <a16:creationId xmlns:a16="http://schemas.microsoft.com/office/drawing/2014/main" id="{00000000-0008-0000-0000-0000E3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6" name="TopSide" descr="Sides" hidden="1">
                <a:extLst>
                  <a:ext uri="{63B3BB69-23CF-44E3-9099-C40C66FF867C}">
                    <a14:compatExt spid="_x0000_s45796"/>
                  </a:ext>
                  <a:ext uri="{FF2B5EF4-FFF2-40B4-BE49-F238E27FC236}">
                    <a16:creationId xmlns:a16="http://schemas.microsoft.com/office/drawing/2014/main" id="{00000000-0008-0000-0000-0000E4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7" name="BottomSide" descr="Sides" hidden="1">
                <a:extLst>
                  <a:ext uri="{63B3BB69-23CF-44E3-9099-C40C66FF867C}">
                    <a14:compatExt spid="_x0000_s45797"/>
                  </a:ext>
                  <a:ext uri="{FF2B5EF4-FFF2-40B4-BE49-F238E27FC236}">
                    <a16:creationId xmlns:a16="http://schemas.microsoft.com/office/drawing/2014/main" id="{00000000-0008-0000-0000-0000E5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18</xdr:row>
          <xdr:rowOff>38100</xdr:rowOff>
        </xdr:from>
        <xdr:to>
          <xdr:col>20</xdr:col>
          <xdr:colOff>619125</xdr:colOff>
          <xdr:row>18</xdr:row>
          <xdr:rowOff>190500</xdr:rowOff>
        </xdr:to>
        <xdr:grpSp>
          <xdr:nvGrpSpPr>
            <xdr:cNvPr id="53577" name="Group 72">
              <a:extLst>
                <a:ext uri="{FF2B5EF4-FFF2-40B4-BE49-F238E27FC236}">
                  <a16:creationId xmlns:a16="http://schemas.microsoft.com/office/drawing/2014/main" id="{00000000-0008-0000-0000-000049D10000}"/>
                </a:ext>
              </a:extLst>
            </xdr:cNvPr>
            <xdr:cNvGrpSpPr>
              <a:grpSpLocks/>
            </xdr:cNvGrpSpPr>
          </xdr:nvGrpSpPr>
          <xdr:grpSpPr bwMode="auto">
            <a:xfrm>
              <a:off x="13165668" y="3710517"/>
              <a:ext cx="619117" cy="152400"/>
              <a:chOff x="9794904" y="1273175"/>
              <a:chExt cx="746136" cy="149225"/>
            </a:xfrm>
          </xdr:grpSpPr>
          <xdr:sp macro="" textlink="">
            <xdr:nvSpPr>
              <xdr:cNvPr id="45798" name="LeftSide" descr="Sides" hidden="1">
                <a:extLst>
                  <a:ext uri="{63B3BB69-23CF-44E3-9099-C40C66FF867C}">
                    <a14:compatExt spid="_x0000_s45798"/>
                  </a:ext>
                  <a:ext uri="{FF2B5EF4-FFF2-40B4-BE49-F238E27FC236}">
                    <a16:creationId xmlns:a16="http://schemas.microsoft.com/office/drawing/2014/main" id="{00000000-0008-0000-0000-0000E6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799" name="RightSide" descr="Sides" hidden="1">
                <a:extLst>
                  <a:ext uri="{63B3BB69-23CF-44E3-9099-C40C66FF867C}">
                    <a14:compatExt spid="_x0000_s45799"/>
                  </a:ext>
                  <a:ext uri="{FF2B5EF4-FFF2-40B4-BE49-F238E27FC236}">
                    <a16:creationId xmlns:a16="http://schemas.microsoft.com/office/drawing/2014/main" id="{00000000-0008-0000-0000-0000E7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0" name="TopSide" descr="Sides" hidden="1">
                <a:extLst>
                  <a:ext uri="{63B3BB69-23CF-44E3-9099-C40C66FF867C}">
                    <a14:compatExt spid="_x0000_s45800"/>
                  </a:ext>
                  <a:ext uri="{FF2B5EF4-FFF2-40B4-BE49-F238E27FC236}">
                    <a16:creationId xmlns:a16="http://schemas.microsoft.com/office/drawing/2014/main" id="{00000000-0008-0000-0000-0000E8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1" name="BottomSide" descr="Sides" hidden="1">
                <a:extLst>
                  <a:ext uri="{63B3BB69-23CF-44E3-9099-C40C66FF867C}">
                    <a14:compatExt spid="_x0000_s45801"/>
                  </a:ext>
                  <a:ext uri="{FF2B5EF4-FFF2-40B4-BE49-F238E27FC236}">
                    <a16:creationId xmlns:a16="http://schemas.microsoft.com/office/drawing/2014/main" id="{00000000-0008-0000-0000-0000E9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19</xdr:row>
          <xdr:rowOff>38100</xdr:rowOff>
        </xdr:from>
        <xdr:to>
          <xdr:col>20</xdr:col>
          <xdr:colOff>619125</xdr:colOff>
          <xdr:row>19</xdr:row>
          <xdr:rowOff>190500</xdr:rowOff>
        </xdr:to>
        <xdr:grpSp>
          <xdr:nvGrpSpPr>
            <xdr:cNvPr id="53578" name="Group 77">
              <a:extLst>
                <a:ext uri="{FF2B5EF4-FFF2-40B4-BE49-F238E27FC236}">
                  <a16:creationId xmlns:a16="http://schemas.microsoft.com/office/drawing/2014/main" id="{00000000-0008-0000-0000-00004AD10000}"/>
                </a:ext>
              </a:extLst>
            </xdr:cNvPr>
            <xdr:cNvGrpSpPr>
              <a:grpSpLocks/>
            </xdr:cNvGrpSpPr>
          </xdr:nvGrpSpPr>
          <xdr:grpSpPr bwMode="auto">
            <a:xfrm>
              <a:off x="13165668" y="3911600"/>
              <a:ext cx="619117" cy="152400"/>
              <a:chOff x="9794904" y="1273175"/>
              <a:chExt cx="746136" cy="149225"/>
            </a:xfrm>
          </xdr:grpSpPr>
          <xdr:sp macro="" textlink="">
            <xdr:nvSpPr>
              <xdr:cNvPr id="45802" name="LeftSide" descr="Sides" hidden="1">
                <a:extLst>
                  <a:ext uri="{63B3BB69-23CF-44E3-9099-C40C66FF867C}">
                    <a14:compatExt spid="_x0000_s45802"/>
                  </a:ext>
                  <a:ext uri="{FF2B5EF4-FFF2-40B4-BE49-F238E27FC236}">
                    <a16:creationId xmlns:a16="http://schemas.microsoft.com/office/drawing/2014/main" id="{00000000-0008-0000-0000-0000EA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3" name="RightSide" descr="Sides" hidden="1">
                <a:extLst>
                  <a:ext uri="{63B3BB69-23CF-44E3-9099-C40C66FF867C}">
                    <a14:compatExt spid="_x0000_s45803"/>
                  </a:ext>
                  <a:ext uri="{FF2B5EF4-FFF2-40B4-BE49-F238E27FC236}">
                    <a16:creationId xmlns:a16="http://schemas.microsoft.com/office/drawing/2014/main" id="{00000000-0008-0000-0000-0000EB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4" name="TopSide" descr="Sides" hidden="1">
                <a:extLst>
                  <a:ext uri="{63B3BB69-23CF-44E3-9099-C40C66FF867C}">
                    <a14:compatExt spid="_x0000_s45804"/>
                  </a:ext>
                  <a:ext uri="{FF2B5EF4-FFF2-40B4-BE49-F238E27FC236}">
                    <a16:creationId xmlns:a16="http://schemas.microsoft.com/office/drawing/2014/main" id="{00000000-0008-0000-0000-0000EC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5" name="BottomSide" descr="Sides" hidden="1">
                <a:extLst>
                  <a:ext uri="{63B3BB69-23CF-44E3-9099-C40C66FF867C}">
                    <a14:compatExt spid="_x0000_s45805"/>
                  </a:ext>
                  <a:ext uri="{FF2B5EF4-FFF2-40B4-BE49-F238E27FC236}">
                    <a16:creationId xmlns:a16="http://schemas.microsoft.com/office/drawing/2014/main" id="{00000000-0008-0000-0000-0000ED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20</xdr:row>
          <xdr:rowOff>38100</xdr:rowOff>
        </xdr:from>
        <xdr:to>
          <xdr:col>20</xdr:col>
          <xdr:colOff>619125</xdr:colOff>
          <xdr:row>20</xdr:row>
          <xdr:rowOff>190500</xdr:rowOff>
        </xdr:to>
        <xdr:grpSp>
          <xdr:nvGrpSpPr>
            <xdr:cNvPr id="53579" name="Group 82">
              <a:extLst>
                <a:ext uri="{FF2B5EF4-FFF2-40B4-BE49-F238E27FC236}">
                  <a16:creationId xmlns:a16="http://schemas.microsoft.com/office/drawing/2014/main" id="{00000000-0008-0000-0000-00004BD10000}"/>
                </a:ext>
              </a:extLst>
            </xdr:cNvPr>
            <xdr:cNvGrpSpPr>
              <a:grpSpLocks/>
            </xdr:cNvGrpSpPr>
          </xdr:nvGrpSpPr>
          <xdr:grpSpPr bwMode="auto">
            <a:xfrm>
              <a:off x="13165668" y="4112683"/>
              <a:ext cx="619117" cy="152400"/>
              <a:chOff x="9794904" y="1273175"/>
              <a:chExt cx="746136" cy="149225"/>
            </a:xfrm>
          </xdr:grpSpPr>
          <xdr:sp macro="" textlink="">
            <xdr:nvSpPr>
              <xdr:cNvPr id="45806" name="LeftSide" descr="Sides" hidden="1">
                <a:extLst>
                  <a:ext uri="{63B3BB69-23CF-44E3-9099-C40C66FF867C}">
                    <a14:compatExt spid="_x0000_s45806"/>
                  </a:ext>
                  <a:ext uri="{FF2B5EF4-FFF2-40B4-BE49-F238E27FC236}">
                    <a16:creationId xmlns:a16="http://schemas.microsoft.com/office/drawing/2014/main" id="{00000000-0008-0000-0000-0000EE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7" name="RightSide" descr="Sides" hidden="1">
                <a:extLst>
                  <a:ext uri="{63B3BB69-23CF-44E3-9099-C40C66FF867C}">
                    <a14:compatExt spid="_x0000_s45807"/>
                  </a:ext>
                  <a:ext uri="{FF2B5EF4-FFF2-40B4-BE49-F238E27FC236}">
                    <a16:creationId xmlns:a16="http://schemas.microsoft.com/office/drawing/2014/main" id="{00000000-0008-0000-0000-0000EF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8" name="TopSide" descr="Sides" hidden="1">
                <a:extLst>
                  <a:ext uri="{63B3BB69-23CF-44E3-9099-C40C66FF867C}">
                    <a14:compatExt spid="_x0000_s45808"/>
                  </a:ext>
                  <a:ext uri="{FF2B5EF4-FFF2-40B4-BE49-F238E27FC236}">
                    <a16:creationId xmlns:a16="http://schemas.microsoft.com/office/drawing/2014/main" id="{00000000-0008-0000-0000-0000F0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09" name="BottomSide" descr="Sides" hidden="1">
                <a:extLst>
                  <a:ext uri="{63B3BB69-23CF-44E3-9099-C40C66FF867C}">
                    <a14:compatExt spid="_x0000_s45809"/>
                  </a:ext>
                  <a:ext uri="{FF2B5EF4-FFF2-40B4-BE49-F238E27FC236}">
                    <a16:creationId xmlns:a16="http://schemas.microsoft.com/office/drawing/2014/main" id="{00000000-0008-0000-0000-0000F1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21</xdr:row>
          <xdr:rowOff>38100</xdr:rowOff>
        </xdr:from>
        <xdr:to>
          <xdr:col>20</xdr:col>
          <xdr:colOff>619125</xdr:colOff>
          <xdr:row>21</xdr:row>
          <xdr:rowOff>190500</xdr:rowOff>
        </xdr:to>
        <xdr:grpSp>
          <xdr:nvGrpSpPr>
            <xdr:cNvPr id="53580" name="Group 87">
              <a:extLst>
                <a:ext uri="{FF2B5EF4-FFF2-40B4-BE49-F238E27FC236}">
                  <a16:creationId xmlns:a16="http://schemas.microsoft.com/office/drawing/2014/main" id="{00000000-0008-0000-0000-00004CD10000}"/>
                </a:ext>
              </a:extLst>
            </xdr:cNvPr>
            <xdr:cNvGrpSpPr>
              <a:grpSpLocks/>
            </xdr:cNvGrpSpPr>
          </xdr:nvGrpSpPr>
          <xdr:grpSpPr bwMode="auto">
            <a:xfrm>
              <a:off x="13165668" y="4313767"/>
              <a:ext cx="619117" cy="152400"/>
              <a:chOff x="9794904" y="1273175"/>
              <a:chExt cx="746136" cy="149225"/>
            </a:xfrm>
          </xdr:grpSpPr>
          <xdr:sp macro="" textlink="">
            <xdr:nvSpPr>
              <xdr:cNvPr id="45810" name="LeftSide" descr="Sides" hidden="1">
                <a:extLst>
                  <a:ext uri="{63B3BB69-23CF-44E3-9099-C40C66FF867C}">
                    <a14:compatExt spid="_x0000_s45810"/>
                  </a:ext>
                  <a:ext uri="{FF2B5EF4-FFF2-40B4-BE49-F238E27FC236}">
                    <a16:creationId xmlns:a16="http://schemas.microsoft.com/office/drawing/2014/main" id="{00000000-0008-0000-0000-0000F2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1" name="RightSide" descr="Sides" hidden="1">
                <a:extLst>
                  <a:ext uri="{63B3BB69-23CF-44E3-9099-C40C66FF867C}">
                    <a14:compatExt spid="_x0000_s45811"/>
                  </a:ext>
                  <a:ext uri="{FF2B5EF4-FFF2-40B4-BE49-F238E27FC236}">
                    <a16:creationId xmlns:a16="http://schemas.microsoft.com/office/drawing/2014/main" id="{00000000-0008-0000-0000-0000F3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2" name="TopSide" descr="Sides" hidden="1">
                <a:extLst>
                  <a:ext uri="{63B3BB69-23CF-44E3-9099-C40C66FF867C}">
                    <a14:compatExt spid="_x0000_s45812"/>
                  </a:ext>
                  <a:ext uri="{FF2B5EF4-FFF2-40B4-BE49-F238E27FC236}">
                    <a16:creationId xmlns:a16="http://schemas.microsoft.com/office/drawing/2014/main" id="{00000000-0008-0000-0000-0000F4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3" name="BottomSide" descr="Sides" hidden="1">
                <a:extLst>
                  <a:ext uri="{63B3BB69-23CF-44E3-9099-C40C66FF867C}">
                    <a14:compatExt spid="_x0000_s45813"/>
                  </a:ext>
                  <a:ext uri="{FF2B5EF4-FFF2-40B4-BE49-F238E27FC236}">
                    <a16:creationId xmlns:a16="http://schemas.microsoft.com/office/drawing/2014/main" id="{00000000-0008-0000-0000-0000F5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22</xdr:row>
          <xdr:rowOff>47625</xdr:rowOff>
        </xdr:from>
        <xdr:to>
          <xdr:col>20</xdr:col>
          <xdr:colOff>619125</xdr:colOff>
          <xdr:row>22</xdr:row>
          <xdr:rowOff>190500</xdr:rowOff>
        </xdr:to>
        <xdr:grpSp>
          <xdr:nvGrpSpPr>
            <xdr:cNvPr id="53581" name="Group 92">
              <a:extLst>
                <a:ext uri="{FF2B5EF4-FFF2-40B4-BE49-F238E27FC236}">
                  <a16:creationId xmlns:a16="http://schemas.microsoft.com/office/drawing/2014/main" id="{00000000-0008-0000-0000-00004DD10000}"/>
                </a:ext>
              </a:extLst>
            </xdr:cNvPr>
            <xdr:cNvGrpSpPr>
              <a:grpSpLocks/>
            </xdr:cNvGrpSpPr>
          </xdr:nvGrpSpPr>
          <xdr:grpSpPr bwMode="auto">
            <a:xfrm>
              <a:off x="13165668" y="4524375"/>
              <a:ext cx="619117" cy="142875"/>
              <a:chOff x="9794904" y="1273175"/>
              <a:chExt cx="746136" cy="149225"/>
            </a:xfrm>
          </xdr:grpSpPr>
          <xdr:sp macro="" textlink="">
            <xdr:nvSpPr>
              <xdr:cNvPr id="45814" name="LeftSide" descr="Sides" hidden="1">
                <a:extLst>
                  <a:ext uri="{63B3BB69-23CF-44E3-9099-C40C66FF867C}">
                    <a14:compatExt spid="_x0000_s45814"/>
                  </a:ext>
                  <a:ext uri="{FF2B5EF4-FFF2-40B4-BE49-F238E27FC236}">
                    <a16:creationId xmlns:a16="http://schemas.microsoft.com/office/drawing/2014/main" id="{00000000-0008-0000-0000-0000F6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5" name="RightSide" descr="Sides" hidden="1">
                <a:extLst>
                  <a:ext uri="{63B3BB69-23CF-44E3-9099-C40C66FF867C}">
                    <a14:compatExt spid="_x0000_s45815"/>
                  </a:ext>
                  <a:ext uri="{FF2B5EF4-FFF2-40B4-BE49-F238E27FC236}">
                    <a16:creationId xmlns:a16="http://schemas.microsoft.com/office/drawing/2014/main" id="{00000000-0008-0000-0000-0000F7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6" name="TopSide" descr="Sides" hidden="1">
                <a:extLst>
                  <a:ext uri="{63B3BB69-23CF-44E3-9099-C40C66FF867C}">
                    <a14:compatExt spid="_x0000_s45816"/>
                  </a:ext>
                  <a:ext uri="{FF2B5EF4-FFF2-40B4-BE49-F238E27FC236}">
                    <a16:creationId xmlns:a16="http://schemas.microsoft.com/office/drawing/2014/main" id="{00000000-0008-0000-0000-0000F8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7" name="BottomSide" descr="Sides" hidden="1">
                <a:extLst>
                  <a:ext uri="{63B3BB69-23CF-44E3-9099-C40C66FF867C}">
                    <a14:compatExt spid="_x0000_s45817"/>
                  </a:ext>
                  <a:ext uri="{FF2B5EF4-FFF2-40B4-BE49-F238E27FC236}">
                    <a16:creationId xmlns:a16="http://schemas.microsoft.com/office/drawing/2014/main" id="{00000000-0008-0000-0000-0000F9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23</xdr:row>
          <xdr:rowOff>47625</xdr:rowOff>
        </xdr:from>
        <xdr:to>
          <xdr:col>20</xdr:col>
          <xdr:colOff>619125</xdr:colOff>
          <xdr:row>23</xdr:row>
          <xdr:rowOff>190500</xdr:rowOff>
        </xdr:to>
        <xdr:grpSp>
          <xdr:nvGrpSpPr>
            <xdr:cNvPr id="53582" name="Group 97">
              <a:extLst>
                <a:ext uri="{FF2B5EF4-FFF2-40B4-BE49-F238E27FC236}">
                  <a16:creationId xmlns:a16="http://schemas.microsoft.com/office/drawing/2014/main" id="{00000000-0008-0000-0000-00004ED10000}"/>
                </a:ext>
              </a:extLst>
            </xdr:cNvPr>
            <xdr:cNvGrpSpPr>
              <a:grpSpLocks/>
            </xdr:cNvGrpSpPr>
          </xdr:nvGrpSpPr>
          <xdr:grpSpPr bwMode="auto">
            <a:xfrm>
              <a:off x="13165668" y="4725458"/>
              <a:ext cx="619117" cy="142875"/>
              <a:chOff x="9794904" y="1273175"/>
              <a:chExt cx="746136" cy="149225"/>
            </a:xfrm>
          </xdr:grpSpPr>
          <xdr:sp macro="" textlink="">
            <xdr:nvSpPr>
              <xdr:cNvPr id="45818" name="LeftSide" descr="Sides" hidden="1">
                <a:extLst>
                  <a:ext uri="{63B3BB69-23CF-44E3-9099-C40C66FF867C}">
                    <a14:compatExt spid="_x0000_s45818"/>
                  </a:ext>
                  <a:ext uri="{FF2B5EF4-FFF2-40B4-BE49-F238E27FC236}">
                    <a16:creationId xmlns:a16="http://schemas.microsoft.com/office/drawing/2014/main" id="{00000000-0008-0000-0000-0000FA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19" name="RightSide" descr="Sides" hidden="1">
                <a:extLst>
                  <a:ext uri="{63B3BB69-23CF-44E3-9099-C40C66FF867C}">
                    <a14:compatExt spid="_x0000_s45819"/>
                  </a:ext>
                  <a:ext uri="{FF2B5EF4-FFF2-40B4-BE49-F238E27FC236}">
                    <a16:creationId xmlns:a16="http://schemas.microsoft.com/office/drawing/2014/main" id="{00000000-0008-0000-0000-0000FB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0" name="TopSide" descr="Sides" hidden="1">
                <a:extLst>
                  <a:ext uri="{63B3BB69-23CF-44E3-9099-C40C66FF867C}">
                    <a14:compatExt spid="_x0000_s45820"/>
                  </a:ext>
                  <a:ext uri="{FF2B5EF4-FFF2-40B4-BE49-F238E27FC236}">
                    <a16:creationId xmlns:a16="http://schemas.microsoft.com/office/drawing/2014/main" id="{00000000-0008-0000-0000-0000FCB2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1" name="BottomSide" descr="Sides" hidden="1">
                <a:extLst>
                  <a:ext uri="{63B3BB69-23CF-44E3-9099-C40C66FF867C}">
                    <a14:compatExt spid="_x0000_s45821"/>
                  </a:ext>
                  <a:ext uri="{FF2B5EF4-FFF2-40B4-BE49-F238E27FC236}">
                    <a16:creationId xmlns:a16="http://schemas.microsoft.com/office/drawing/2014/main" id="{00000000-0008-0000-0000-0000FDB2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24</xdr:row>
          <xdr:rowOff>47625</xdr:rowOff>
        </xdr:from>
        <xdr:to>
          <xdr:col>20</xdr:col>
          <xdr:colOff>619125</xdr:colOff>
          <xdr:row>25</xdr:row>
          <xdr:rowOff>0</xdr:rowOff>
        </xdr:to>
        <xdr:grpSp>
          <xdr:nvGrpSpPr>
            <xdr:cNvPr id="53583" name="Group 102">
              <a:extLst>
                <a:ext uri="{FF2B5EF4-FFF2-40B4-BE49-F238E27FC236}">
                  <a16:creationId xmlns:a16="http://schemas.microsoft.com/office/drawing/2014/main" id="{00000000-0008-0000-0000-00004FD10000}"/>
                </a:ext>
              </a:extLst>
            </xdr:cNvPr>
            <xdr:cNvGrpSpPr>
              <a:grpSpLocks/>
            </xdr:cNvGrpSpPr>
          </xdr:nvGrpSpPr>
          <xdr:grpSpPr bwMode="auto">
            <a:xfrm>
              <a:off x="13165668" y="4926542"/>
              <a:ext cx="619117" cy="153458"/>
              <a:chOff x="9794904" y="1273175"/>
              <a:chExt cx="746136" cy="149225"/>
            </a:xfrm>
          </xdr:grpSpPr>
          <xdr:sp macro="" textlink="">
            <xdr:nvSpPr>
              <xdr:cNvPr id="45822" name="LeftSide" descr="Sides" hidden="1">
                <a:extLst>
                  <a:ext uri="{63B3BB69-23CF-44E3-9099-C40C66FF867C}">
                    <a14:compatExt spid="_x0000_s45822"/>
                  </a:ext>
                  <a:ext uri="{FF2B5EF4-FFF2-40B4-BE49-F238E27FC236}">
                    <a16:creationId xmlns:a16="http://schemas.microsoft.com/office/drawing/2014/main" id="{00000000-0008-0000-0000-0000FEB20000}"/>
                  </a:ext>
                </a:extLst>
              </xdr:cNvPr>
              <xdr:cNvSpPr/>
            </xdr:nvSpPr>
            <xdr:spPr bwMode="auto">
              <a:xfrm>
                <a:off x="10185402" y="1273175"/>
                <a:ext cx="165100"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3" name="RightSide" descr="Sides" hidden="1">
                <a:extLst>
                  <a:ext uri="{63B3BB69-23CF-44E3-9099-C40C66FF867C}">
                    <a14:compatExt spid="_x0000_s45823"/>
                  </a:ext>
                  <a:ext uri="{FF2B5EF4-FFF2-40B4-BE49-F238E27FC236}">
                    <a16:creationId xmlns:a16="http://schemas.microsoft.com/office/drawing/2014/main" id="{00000000-0008-0000-0000-0000FFB20000}"/>
                  </a:ext>
                </a:extLst>
              </xdr:cNvPr>
              <xdr:cNvSpPr/>
            </xdr:nvSpPr>
            <xdr:spPr bwMode="auto">
              <a:xfrm>
                <a:off x="10379116"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4" name="TopSide" descr="Sides" hidden="1">
                <a:extLst>
                  <a:ext uri="{63B3BB69-23CF-44E3-9099-C40C66FF867C}">
                    <a14:compatExt spid="_x0000_s45824"/>
                  </a:ext>
                  <a:ext uri="{FF2B5EF4-FFF2-40B4-BE49-F238E27FC236}">
                    <a16:creationId xmlns:a16="http://schemas.microsoft.com/office/drawing/2014/main" id="{00000000-0008-0000-0000-000000B30000}"/>
                  </a:ext>
                </a:extLst>
              </xdr:cNvPr>
              <xdr:cNvSpPr/>
            </xdr:nvSpPr>
            <xdr:spPr bwMode="auto">
              <a:xfrm>
                <a:off x="9794904"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5" name="BottomSide" descr="Sides" hidden="1">
                <a:extLst>
                  <a:ext uri="{63B3BB69-23CF-44E3-9099-C40C66FF867C}">
                    <a14:compatExt spid="_x0000_s45825"/>
                  </a:ext>
                  <a:ext uri="{FF2B5EF4-FFF2-40B4-BE49-F238E27FC236}">
                    <a16:creationId xmlns:a16="http://schemas.microsoft.com/office/drawing/2014/main" id="{00000000-0008-0000-0000-000001B30000}"/>
                  </a:ext>
                </a:extLst>
              </xdr:cNvPr>
              <xdr:cNvSpPr/>
            </xdr:nvSpPr>
            <xdr:spPr bwMode="auto">
              <a:xfrm>
                <a:off x="998537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25</xdr:row>
          <xdr:rowOff>47625</xdr:rowOff>
        </xdr:from>
        <xdr:to>
          <xdr:col>20</xdr:col>
          <xdr:colOff>628650</xdr:colOff>
          <xdr:row>26</xdr:row>
          <xdr:rowOff>0</xdr:rowOff>
        </xdr:to>
        <xdr:grpSp>
          <xdr:nvGrpSpPr>
            <xdr:cNvPr id="53584" name="Group 107">
              <a:extLst>
                <a:ext uri="{FF2B5EF4-FFF2-40B4-BE49-F238E27FC236}">
                  <a16:creationId xmlns:a16="http://schemas.microsoft.com/office/drawing/2014/main" id="{00000000-0008-0000-0000-000050D10000}"/>
                </a:ext>
              </a:extLst>
            </xdr:cNvPr>
            <xdr:cNvGrpSpPr>
              <a:grpSpLocks/>
            </xdr:cNvGrpSpPr>
          </xdr:nvGrpSpPr>
          <xdr:grpSpPr bwMode="auto">
            <a:xfrm>
              <a:off x="13165668" y="5127625"/>
              <a:ext cx="628660" cy="153458"/>
              <a:chOff x="9794897" y="1273175"/>
              <a:chExt cx="746094" cy="149225"/>
            </a:xfrm>
          </xdr:grpSpPr>
          <xdr:sp macro="" textlink="">
            <xdr:nvSpPr>
              <xdr:cNvPr id="45826" name="LeftSide" descr="Sides" hidden="1">
                <a:extLst>
                  <a:ext uri="{63B3BB69-23CF-44E3-9099-C40C66FF867C}">
                    <a14:compatExt spid="_x0000_s45826"/>
                  </a:ext>
                  <a:ext uri="{FF2B5EF4-FFF2-40B4-BE49-F238E27FC236}">
                    <a16:creationId xmlns:a16="http://schemas.microsoft.com/office/drawing/2014/main" id="{00000000-0008-0000-0000-000002B30000}"/>
                  </a:ext>
                </a:extLst>
              </xdr:cNvPr>
              <xdr:cNvSpPr/>
            </xdr:nvSpPr>
            <xdr:spPr bwMode="auto">
              <a:xfrm>
                <a:off x="10185405" y="1273175"/>
                <a:ext cx="165101"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7" name="RightSide" descr="Sides" hidden="1">
                <a:extLst>
                  <a:ext uri="{63B3BB69-23CF-44E3-9099-C40C66FF867C}">
                    <a14:compatExt spid="_x0000_s45827"/>
                  </a:ext>
                  <a:ext uri="{FF2B5EF4-FFF2-40B4-BE49-F238E27FC236}">
                    <a16:creationId xmlns:a16="http://schemas.microsoft.com/office/drawing/2014/main" id="{00000000-0008-0000-0000-000003B30000}"/>
                  </a:ext>
                </a:extLst>
              </xdr:cNvPr>
              <xdr:cNvSpPr/>
            </xdr:nvSpPr>
            <xdr:spPr bwMode="auto">
              <a:xfrm>
                <a:off x="10379066"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8" name="TopSide" descr="Sides" hidden="1">
                <a:extLst>
                  <a:ext uri="{63B3BB69-23CF-44E3-9099-C40C66FF867C}">
                    <a14:compatExt spid="_x0000_s45828"/>
                  </a:ext>
                  <a:ext uri="{FF2B5EF4-FFF2-40B4-BE49-F238E27FC236}">
                    <a16:creationId xmlns:a16="http://schemas.microsoft.com/office/drawing/2014/main" id="{00000000-0008-0000-0000-000004B30000}"/>
                  </a:ext>
                </a:extLst>
              </xdr:cNvPr>
              <xdr:cNvSpPr/>
            </xdr:nvSpPr>
            <xdr:spPr bwMode="auto">
              <a:xfrm>
                <a:off x="9794897"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45829" name="BottomSide" descr="Sides" hidden="1">
                <a:extLst>
                  <a:ext uri="{63B3BB69-23CF-44E3-9099-C40C66FF867C}">
                    <a14:compatExt spid="_x0000_s45829"/>
                  </a:ext>
                  <a:ext uri="{FF2B5EF4-FFF2-40B4-BE49-F238E27FC236}">
                    <a16:creationId xmlns:a16="http://schemas.microsoft.com/office/drawing/2014/main" id="{00000000-0008-0000-0000-000005B30000}"/>
                  </a:ext>
                </a:extLst>
              </xdr:cNvPr>
              <xdr:cNvSpPr/>
            </xdr:nvSpPr>
            <xdr:spPr bwMode="auto">
              <a:xfrm>
                <a:off x="9985375" y="1273175"/>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428625</xdr:colOff>
      <xdr:row>53</xdr:row>
      <xdr:rowOff>161925</xdr:rowOff>
    </xdr:from>
    <xdr:to>
      <xdr:col>9</xdr:col>
      <xdr:colOff>133350</xdr:colOff>
      <xdr:row>59</xdr:row>
      <xdr:rowOff>171450</xdr:rowOff>
    </xdr:to>
    <xdr:pic>
      <xdr:nvPicPr>
        <xdr:cNvPr id="54316" name="Picture 1055" descr="S-CRAFT reduced for L">
          <a:extLst>
            <a:ext uri="{FF2B5EF4-FFF2-40B4-BE49-F238E27FC236}">
              <a16:creationId xmlns:a16="http://schemas.microsoft.com/office/drawing/2014/main" id="{00000000-0008-0000-0100-00002CD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10906125"/>
          <a:ext cx="9144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12</xdr:col>
          <xdr:colOff>38100</xdr:colOff>
          <xdr:row>3</xdr:row>
          <xdr:rowOff>0</xdr:rowOff>
        </xdr:from>
        <xdr:to>
          <xdr:col>13</xdr:col>
          <xdr:colOff>9525</xdr:colOff>
          <xdr:row>4</xdr:row>
          <xdr:rowOff>171450</xdr:rowOff>
        </xdr:to>
        <xdr:sp macro="" textlink="">
          <xdr:nvSpPr>
            <xdr:cNvPr id="52225" name="Option Button 1" descr="Normal" hidden="1">
              <a:extLst>
                <a:ext uri="{63B3BB69-23CF-44E3-9099-C40C66FF867C}">
                  <a14:compatExt spid="_x0000_s52225"/>
                </a:ext>
                <a:ext uri="{FF2B5EF4-FFF2-40B4-BE49-F238E27FC236}">
                  <a16:creationId xmlns:a16="http://schemas.microsoft.com/office/drawing/2014/main" id="{00000000-0008-0000-0100-000001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Normal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9525</xdr:rowOff>
        </xdr:from>
        <xdr:to>
          <xdr:col>14</xdr:col>
          <xdr:colOff>266700</xdr:colOff>
          <xdr:row>4</xdr:row>
          <xdr:rowOff>171450</xdr:rowOff>
        </xdr:to>
        <xdr:sp macro="" textlink="">
          <xdr:nvSpPr>
            <xdr:cNvPr id="52226" name="Option Button 2" hidden="1">
              <a:extLst>
                <a:ext uri="{63B3BB69-23CF-44E3-9099-C40C66FF867C}">
                  <a14:compatExt spid="_x0000_s52226"/>
                </a:ext>
                <a:ext uri="{FF2B5EF4-FFF2-40B4-BE49-F238E27FC236}">
                  <a16:creationId xmlns:a16="http://schemas.microsoft.com/office/drawing/2014/main" id="{00000000-0008-0000-0100-000002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Alternative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6</xdr:row>
          <xdr:rowOff>9525</xdr:rowOff>
        </xdr:from>
        <xdr:to>
          <xdr:col>19</xdr:col>
          <xdr:colOff>638175</xdr:colOff>
          <xdr:row>6</xdr:row>
          <xdr:rowOff>180975</xdr:rowOff>
        </xdr:to>
        <xdr:grpSp>
          <xdr:nvGrpSpPr>
            <xdr:cNvPr id="54317" name="Group 3">
              <a:extLst>
                <a:ext uri="{FF2B5EF4-FFF2-40B4-BE49-F238E27FC236}">
                  <a16:creationId xmlns:a16="http://schemas.microsoft.com/office/drawing/2014/main" id="{00000000-0008-0000-0100-00002DD40000}"/>
                </a:ext>
              </a:extLst>
            </xdr:cNvPr>
            <xdr:cNvGrpSpPr>
              <a:grpSpLocks/>
            </xdr:cNvGrpSpPr>
          </xdr:nvGrpSpPr>
          <xdr:grpSpPr bwMode="auto">
            <a:xfrm>
              <a:off x="12418228" y="1271588"/>
              <a:ext cx="638180" cy="171450"/>
              <a:chOff x="9751131" y="1283538"/>
              <a:chExt cx="775274" cy="149225"/>
            </a:xfrm>
          </xdr:grpSpPr>
          <xdr:sp macro="" textlink="">
            <xdr:nvSpPr>
              <xdr:cNvPr id="52227" name="LeftSide" descr="Sides" hidden="1">
                <a:extLst>
                  <a:ext uri="{63B3BB69-23CF-44E3-9099-C40C66FF867C}">
                    <a14:compatExt spid="_x0000_s52227"/>
                  </a:ext>
                  <a:ext uri="{FF2B5EF4-FFF2-40B4-BE49-F238E27FC236}">
                    <a16:creationId xmlns:a16="http://schemas.microsoft.com/office/drawing/2014/main" id="{00000000-0008-0000-0100-000003CC0000}"/>
                  </a:ext>
                </a:extLst>
              </xdr:cNvPr>
              <xdr:cNvSpPr/>
            </xdr:nvSpPr>
            <xdr:spPr bwMode="auto">
              <a:xfrm>
                <a:off x="10156252" y="1283539"/>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28" name="RightSide" descr="Sides" hidden="1">
                <a:extLst>
                  <a:ext uri="{63B3BB69-23CF-44E3-9099-C40C66FF867C}">
                    <a14:compatExt spid="_x0000_s52228"/>
                  </a:ext>
                  <a:ext uri="{FF2B5EF4-FFF2-40B4-BE49-F238E27FC236}">
                    <a16:creationId xmlns:a16="http://schemas.microsoft.com/office/drawing/2014/main" id="{00000000-0008-0000-0100-000004CC0000}"/>
                  </a:ext>
                </a:extLst>
              </xdr:cNvPr>
              <xdr:cNvSpPr/>
            </xdr:nvSpPr>
            <xdr:spPr bwMode="auto">
              <a:xfrm>
                <a:off x="10364480" y="1283538"/>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29" name="TopSide" descr="Sides" hidden="1">
                <a:extLst>
                  <a:ext uri="{63B3BB69-23CF-44E3-9099-C40C66FF867C}">
                    <a14:compatExt spid="_x0000_s52229"/>
                  </a:ext>
                  <a:ext uri="{FF2B5EF4-FFF2-40B4-BE49-F238E27FC236}">
                    <a16:creationId xmlns:a16="http://schemas.microsoft.com/office/drawing/2014/main" id="{00000000-0008-0000-0100-000005CC0000}"/>
                  </a:ext>
                </a:extLst>
              </xdr:cNvPr>
              <xdr:cNvSpPr/>
            </xdr:nvSpPr>
            <xdr:spPr bwMode="auto">
              <a:xfrm>
                <a:off x="9751131" y="1283538"/>
                <a:ext cx="161922"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0" name="BottomSide" descr="Sides" hidden="1">
                <a:extLst>
                  <a:ext uri="{63B3BB69-23CF-44E3-9099-C40C66FF867C}">
                    <a14:compatExt spid="_x0000_s52230"/>
                  </a:ext>
                  <a:ext uri="{FF2B5EF4-FFF2-40B4-BE49-F238E27FC236}">
                    <a16:creationId xmlns:a16="http://schemas.microsoft.com/office/drawing/2014/main" id="{00000000-0008-0000-0100-000006CC0000}"/>
                  </a:ext>
                </a:extLst>
              </xdr:cNvPr>
              <xdr:cNvSpPr/>
            </xdr:nvSpPr>
            <xdr:spPr bwMode="auto">
              <a:xfrm>
                <a:off x="9956229" y="1283538"/>
                <a:ext cx="161927"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7</xdr:row>
          <xdr:rowOff>0</xdr:rowOff>
        </xdr:from>
        <xdr:to>
          <xdr:col>19</xdr:col>
          <xdr:colOff>628650</xdr:colOff>
          <xdr:row>7</xdr:row>
          <xdr:rowOff>171450</xdr:rowOff>
        </xdr:to>
        <xdr:grpSp>
          <xdr:nvGrpSpPr>
            <xdr:cNvPr id="54318" name="Group 17">
              <a:extLst>
                <a:ext uri="{FF2B5EF4-FFF2-40B4-BE49-F238E27FC236}">
                  <a16:creationId xmlns:a16="http://schemas.microsoft.com/office/drawing/2014/main" id="{00000000-0008-0000-0100-00002ED40000}"/>
                </a:ext>
              </a:extLst>
            </xdr:cNvPr>
            <xdr:cNvGrpSpPr>
              <a:grpSpLocks/>
            </xdr:cNvGrpSpPr>
          </xdr:nvGrpSpPr>
          <xdr:grpSpPr bwMode="auto">
            <a:xfrm>
              <a:off x="12418219" y="1464469"/>
              <a:ext cx="628650" cy="171450"/>
              <a:chOff x="9794814" y="1273175"/>
              <a:chExt cx="746189" cy="149225"/>
            </a:xfrm>
          </xdr:grpSpPr>
          <xdr:sp macro="" textlink="">
            <xdr:nvSpPr>
              <xdr:cNvPr id="52231" name="LeftSide" descr="Sides" hidden="1">
                <a:extLst>
                  <a:ext uri="{63B3BB69-23CF-44E3-9099-C40C66FF867C}">
                    <a14:compatExt spid="_x0000_s52231"/>
                  </a:ext>
                  <a:ext uri="{FF2B5EF4-FFF2-40B4-BE49-F238E27FC236}">
                    <a16:creationId xmlns:a16="http://schemas.microsoft.com/office/drawing/2014/main" id="{00000000-0008-0000-0100-00000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2" name="RightSide" descr="Sides" hidden="1">
                <a:extLst>
                  <a:ext uri="{63B3BB69-23CF-44E3-9099-C40C66FF867C}">
                    <a14:compatExt spid="_x0000_s52232"/>
                  </a:ext>
                  <a:ext uri="{FF2B5EF4-FFF2-40B4-BE49-F238E27FC236}">
                    <a16:creationId xmlns:a16="http://schemas.microsoft.com/office/drawing/2014/main" id="{00000000-0008-0000-0100-00000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3" name="TopSide" descr="Sides" hidden="1">
                <a:extLst>
                  <a:ext uri="{63B3BB69-23CF-44E3-9099-C40C66FF867C}">
                    <a14:compatExt spid="_x0000_s52233"/>
                  </a:ext>
                  <a:ext uri="{FF2B5EF4-FFF2-40B4-BE49-F238E27FC236}">
                    <a16:creationId xmlns:a16="http://schemas.microsoft.com/office/drawing/2014/main" id="{00000000-0008-0000-0100-00000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4" name="BottomSide" descr="Sides" hidden="1">
                <a:extLst>
                  <a:ext uri="{63B3BB69-23CF-44E3-9099-C40C66FF867C}">
                    <a14:compatExt spid="_x0000_s52234"/>
                  </a:ext>
                  <a:ext uri="{FF2B5EF4-FFF2-40B4-BE49-F238E27FC236}">
                    <a16:creationId xmlns:a16="http://schemas.microsoft.com/office/drawing/2014/main" id="{00000000-0008-0000-0100-00000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8</xdr:row>
          <xdr:rowOff>9525</xdr:rowOff>
        </xdr:from>
        <xdr:to>
          <xdr:col>19</xdr:col>
          <xdr:colOff>628650</xdr:colOff>
          <xdr:row>8</xdr:row>
          <xdr:rowOff>171450</xdr:rowOff>
        </xdr:to>
        <xdr:grpSp>
          <xdr:nvGrpSpPr>
            <xdr:cNvPr id="54319" name="Group 22">
              <a:extLst>
                <a:ext uri="{FF2B5EF4-FFF2-40B4-BE49-F238E27FC236}">
                  <a16:creationId xmlns:a16="http://schemas.microsoft.com/office/drawing/2014/main" id="{00000000-0008-0000-0100-00002FD40000}"/>
                </a:ext>
              </a:extLst>
            </xdr:cNvPr>
            <xdr:cNvGrpSpPr>
              <a:grpSpLocks/>
            </xdr:cNvGrpSpPr>
          </xdr:nvGrpSpPr>
          <xdr:grpSpPr bwMode="auto">
            <a:xfrm>
              <a:off x="12418219" y="1676400"/>
              <a:ext cx="628650" cy="161925"/>
              <a:chOff x="9794814" y="1273175"/>
              <a:chExt cx="746189" cy="149225"/>
            </a:xfrm>
          </xdr:grpSpPr>
          <xdr:sp macro="" textlink="">
            <xdr:nvSpPr>
              <xdr:cNvPr id="52235" name="LeftSide" descr="Sides" hidden="1">
                <a:extLst>
                  <a:ext uri="{63B3BB69-23CF-44E3-9099-C40C66FF867C}">
                    <a14:compatExt spid="_x0000_s52235"/>
                  </a:ext>
                  <a:ext uri="{FF2B5EF4-FFF2-40B4-BE49-F238E27FC236}">
                    <a16:creationId xmlns:a16="http://schemas.microsoft.com/office/drawing/2014/main" id="{00000000-0008-0000-0100-00000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6" name="RightSide" descr="Sides" hidden="1">
                <a:extLst>
                  <a:ext uri="{63B3BB69-23CF-44E3-9099-C40C66FF867C}">
                    <a14:compatExt spid="_x0000_s52236"/>
                  </a:ext>
                  <a:ext uri="{FF2B5EF4-FFF2-40B4-BE49-F238E27FC236}">
                    <a16:creationId xmlns:a16="http://schemas.microsoft.com/office/drawing/2014/main" id="{00000000-0008-0000-0100-00000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7" name="TopSide" descr="Sides" hidden="1">
                <a:extLst>
                  <a:ext uri="{63B3BB69-23CF-44E3-9099-C40C66FF867C}">
                    <a14:compatExt spid="_x0000_s52237"/>
                  </a:ext>
                  <a:ext uri="{FF2B5EF4-FFF2-40B4-BE49-F238E27FC236}">
                    <a16:creationId xmlns:a16="http://schemas.microsoft.com/office/drawing/2014/main" id="{00000000-0008-0000-0100-00000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38" name="BottomSide" descr="Sides" hidden="1">
                <a:extLst>
                  <a:ext uri="{63B3BB69-23CF-44E3-9099-C40C66FF867C}">
                    <a14:compatExt spid="_x0000_s52238"/>
                  </a:ext>
                  <a:ext uri="{FF2B5EF4-FFF2-40B4-BE49-F238E27FC236}">
                    <a16:creationId xmlns:a16="http://schemas.microsoft.com/office/drawing/2014/main" id="{00000000-0008-0000-0100-00000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9</xdr:row>
          <xdr:rowOff>9525</xdr:rowOff>
        </xdr:from>
        <xdr:to>
          <xdr:col>19</xdr:col>
          <xdr:colOff>628650</xdr:colOff>
          <xdr:row>9</xdr:row>
          <xdr:rowOff>171450</xdr:rowOff>
        </xdr:to>
        <xdr:grpSp>
          <xdr:nvGrpSpPr>
            <xdr:cNvPr id="54320" name="Group 27">
              <a:extLst>
                <a:ext uri="{FF2B5EF4-FFF2-40B4-BE49-F238E27FC236}">
                  <a16:creationId xmlns:a16="http://schemas.microsoft.com/office/drawing/2014/main" id="{00000000-0008-0000-0100-000030D40000}"/>
                </a:ext>
              </a:extLst>
            </xdr:cNvPr>
            <xdr:cNvGrpSpPr>
              <a:grpSpLocks/>
            </xdr:cNvGrpSpPr>
          </xdr:nvGrpSpPr>
          <xdr:grpSpPr bwMode="auto">
            <a:xfrm>
              <a:off x="12418219" y="1878806"/>
              <a:ext cx="628650" cy="161925"/>
              <a:chOff x="9794814" y="1273175"/>
              <a:chExt cx="746189" cy="149225"/>
            </a:xfrm>
          </xdr:grpSpPr>
          <xdr:sp macro="" textlink="">
            <xdr:nvSpPr>
              <xdr:cNvPr id="52239" name="LeftSide" descr="Sides" hidden="1">
                <a:extLst>
                  <a:ext uri="{63B3BB69-23CF-44E3-9099-C40C66FF867C}">
                    <a14:compatExt spid="_x0000_s52239"/>
                  </a:ext>
                  <a:ext uri="{FF2B5EF4-FFF2-40B4-BE49-F238E27FC236}">
                    <a16:creationId xmlns:a16="http://schemas.microsoft.com/office/drawing/2014/main" id="{00000000-0008-0000-0100-00000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0" name="RightSide" descr="Sides" hidden="1">
                <a:extLst>
                  <a:ext uri="{63B3BB69-23CF-44E3-9099-C40C66FF867C}">
                    <a14:compatExt spid="_x0000_s52240"/>
                  </a:ext>
                  <a:ext uri="{FF2B5EF4-FFF2-40B4-BE49-F238E27FC236}">
                    <a16:creationId xmlns:a16="http://schemas.microsoft.com/office/drawing/2014/main" id="{00000000-0008-0000-0100-00001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1" name="TopSide" descr="Sides" hidden="1">
                <a:extLst>
                  <a:ext uri="{63B3BB69-23CF-44E3-9099-C40C66FF867C}">
                    <a14:compatExt spid="_x0000_s52241"/>
                  </a:ext>
                  <a:ext uri="{FF2B5EF4-FFF2-40B4-BE49-F238E27FC236}">
                    <a16:creationId xmlns:a16="http://schemas.microsoft.com/office/drawing/2014/main" id="{00000000-0008-0000-0100-00001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2" name="BottomSide" descr="Sides" hidden="1">
                <a:extLst>
                  <a:ext uri="{63B3BB69-23CF-44E3-9099-C40C66FF867C}">
                    <a14:compatExt spid="_x0000_s52242"/>
                  </a:ext>
                  <a:ext uri="{FF2B5EF4-FFF2-40B4-BE49-F238E27FC236}">
                    <a16:creationId xmlns:a16="http://schemas.microsoft.com/office/drawing/2014/main" id="{00000000-0008-0000-0100-00001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10</xdr:row>
          <xdr:rowOff>9525</xdr:rowOff>
        </xdr:from>
        <xdr:to>
          <xdr:col>19</xdr:col>
          <xdr:colOff>628650</xdr:colOff>
          <xdr:row>10</xdr:row>
          <xdr:rowOff>180975</xdr:rowOff>
        </xdr:to>
        <xdr:grpSp>
          <xdr:nvGrpSpPr>
            <xdr:cNvPr id="54321" name="Group 32">
              <a:extLst>
                <a:ext uri="{FF2B5EF4-FFF2-40B4-BE49-F238E27FC236}">
                  <a16:creationId xmlns:a16="http://schemas.microsoft.com/office/drawing/2014/main" id="{00000000-0008-0000-0100-000031D40000}"/>
                </a:ext>
              </a:extLst>
            </xdr:cNvPr>
            <xdr:cNvGrpSpPr>
              <a:grpSpLocks/>
            </xdr:cNvGrpSpPr>
          </xdr:nvGrpSpPr>
          <xdr:grpSpPr bwMode="auto">
            <a:xfrm>
              <a:off x="12418219" y="2081213"/>
              <a:ext cx="628650" cy="171450"/>
              <a:chOff x="9794814" y="1273175"/>
              <a:chExt cx="746189" cy="149225"/>
            </a:xfrm>
          </xdr:grpSpPr>
          <xdr:sp macro="" textlink="">
            <xdr:nvSpPr>
              <xdr:cNvPr id="52243" name="LeftSide" descr="Sides" hidden="1">
                <a:extLst>
                  <a:ext uri="{63B3BB69-23CF-44E3-9099-C40C66FF867C}">
                    <a14:compatExt spid="_x0000_s52243"/>
                  </a:ext>
                  <a:ext uri="{FF2B5EF4-FFF2-40B4-BE49-F238E27FC236}">
                    <a16:creationId xmlns:a16="http://schemas.microsoft.com/office/drawing/2014/main" id="{00000000-0008-0000-0100-00001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4" name="RightSide" descr="Sides" hidden="1">
                <a:extLst>
                  <a:ext uri="{63B3BB69-23CF-44E3-9099-C40C66FF867C}">
                    <a14:compatExt spid="_x0000_s52244"/>
                  </a:ext>
                  <a:ext uri="{FF2B5EF4-FFF2-40B4-BE49-F238E27FC236}">
                    <a16:creationId xmlns:a16="http://schemas.microsoft.com/office/drawing/2014/main" id="{00000000-0008-0000-0100-00001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5" name="TopSide" descr="Sides" hidden="1">
                <a:extLst>
                  <a:ext uri="{63B3BB69-23CF-44E3-9099-C40C66FF867C}">
                    <a14:compatExt spid="_x0000_s52245"/>
                  </a:ext>
                  <a:ext uri="{FF2B5EF4-FFF2-40B4-BE49-F238E27FC236}">
                    <a16:creationId xmlns:a16="http://schemas.microsoft.com/office/drawing/2014/main" id="{00000000-0008-0000-0100-00001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6" name="BottomSide" descr="Sides" hidden="1">
                <a:extLst>
                  <a:ext uri="{63B3BB69-23CF-44E3-9099-C40C66FF867C}">
                    <a14:compatExt spid="_x0000_s52246"/>
                  </a:ext>
                  <a:ext uri="{FF2B5EF4-FFF2-40B4-BE49-F238E27FC236}">
                    <a16:creationId xmlns:a16="http://schemas.microsoft.com/office/drawing/2014/main" id="{00000000-0008-0000-0100-00001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11</xdr:row>
          <xdr:rowOff>9525</xdr:rowOff>
        </xdr:from>
        <xdr:to>
          <xdr:col>19</xdr:col>
          <xdr:colOff>628650</xdr:colOff>
          <xdr:row>11</xdr:row>
          <xdr:rowOff>180975</xdr:rowOff>
        </xdr:to>
        <xdr:grpSp>
          <xdr:nvGrpSpPr>
            <xdr:cNvPr id="54322" name="Group 37">
              <a:extLst>
                <a:ext uri="{FF2B5EF4-FFF2-40B4-BE49-F238E27FC236}">
                  <a16:creationId xmlns:a16="http://schemas.microsoft.com/office/drawing/2014/main" id="{00000000-0008-0000-0100-000032D40000}"/>
                </a:ext>
              </a:extLst>
            </xdr:cNvPr>
            <xdr:cNvGrpSpPr>
              <a:grpSpLocks/>
            </xdr:cNvGrpSpPr>
          </xdr:nvGrpSpPr>
          <xdr:grpSpPr bwMode="auto">
            <a:xfrm>
              <a:off x="12418219" y="2283619"/>
              <a:ext cx="628650" cy="171450"/>
              <a:chOff x="9794814" y="1273175"/>
              <a:chExt cx="746189" cy="149225"/>
            </a:xfrm>
          </xdr:grpSpPr>
          <xdr:sp macro="" textlink="">
            <xdr:nvSpPr>
              <xdr:cNvPr id="52247" name="LeftSide" descr="Sides" hidden="1">
                <a:extLst>
                  <a:ext uri="{63B3BB69-23CF-44E3-9099-C40C66FF867C}">
                    <a14:compatExt spid="_x0000_s52247"/>
                  </a:ext>
                  <a:ext uri="{FF2B5EF4-FFF2-40B4-BE49-F238E27FC236}">
                    <a16:creationId xmlns:a16="http://schemas.microsoft.com/office/drawing/2014/main" id="{00000000-0008-0000-0100-00001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8" name="RightSide" descr="Sides" hidden="1">
                <a:extLst>
                  <a:ext uri="{63B3BB69-23CF-44E3-9099-C40C66FF867C}">
                    <a14:compatExt spid="_x0000_s52248"/>
                  </a:ext>
                  <a:ext uri="{FF2B5EF4-FFF2-40B4-BE49-F238E27FC236}">
                    <a16:creationId xmlns:a16="http://schemas.microsoft.com/office/drawing/2014/main" id="{00000000-0008-0000-0100-00001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49" name="TopSide" descr="Sides" hidden="1">
                <a:extLst>
                  <a:ext uri="{63B3BB69-23CF-44E3-9099-C40C66FF867C}">
                    <a14:compatExt spid="_x0000_s52249"/>
                  </a:ext>
                  <a:ext uri="{FF2B5EF4-FFF2-40B4-BE49-F238E27FC236}">
                    <a16:creationId xmlns:a16="http://schemas.microsoft.com/office/drawing/2014/main" id="{00000000-0008-0000-0100-00001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0" name="BottomSide" descr="Sides" hidden="1">
                <a:extLst>
                  <a:ext uri="{63B3BB69-23CF-44E3-9099-C40C66FF867C}">
                    <a14:compatExt spid="_x0000_s52250"/>
                  </a:ext>
                  <a:ext uri="{FF2B5EF4-FFF2-40B4-BE49-F238E27FC236}">
                    <a16:creationId xmlns:a16="http://schemas.microsoft.com/office/drawing/2014/main" id="{00000000-0008-0000-0100-00001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12</xdr:row>
          <xdr:rowOff>9525</xdr:rowOff>
        </xdr:from>
        <xdr:to>
          <xdr:col>19</xdr:col>
          <xdr:colOff>628650</xdr:colOff>
          <xdr:row>12</xdr:row>
          <xdr:rowOff>180975</xdr:rowOff>
        </xdr:to>
        <xdr:grpSp>
          <xdr:nvGrpSpPr>
            <xdr:cNvPr id="54323" name="Group 42">
              <a:extLst>
                <a:ext uri="{FF2B5EF4-FFF2-40B4-BE49-F238E27FC236}">
                  <a16:creationId xmlns:a16="http://schemas.microsoft.com/office/drawing/2014/main" id="{00000000-0008-0000-0100-000033D40000}"/>
                </a:ext>
              </a:extLst>
            </xdr:cNvPr>
            <xdr:cNvGrpSpPr>
              <a:grpSpLocks/>
            </xdr:cNvGrpSpPr>
          </xdr:nvGrpSpPr>
          <xdr:grpSpPr bwMode="auto">
            <a:xfrm>
              <a:off x="12418219" y="2486025"/>
              <a:ext cx="628650" cy="171450"/>
              <a:chOff x="9794814" y="1273175"/>
              <a:chExt cx="746189" cy="149225"/>
            </a:xfrm>
          </xdr:grpSpPr>
          <xdr:sp macro="" textlink="">
            <xdr:nvSpPr>
              <xdr:cNvPr id="52251" name="LeftSide" descr="Sides" hidden="1">
                <a:extLst>
                  <a:ext uri="{63B3BB69-23CF-44E3-9099-C40C66FF867C}">
                    <a14:compatExt spid="_x0000_s52251"/>
                  </a:ext>
                  <a:ext uri="{FF2B5EF4-FFF2-40B4-BE49-F238E27FC236}">
                    <a16:creationId xmlns:a16="http://schemas.microsoft.com/office/drawing/2014/main" id="{00000000-0008-0000-0100-00001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2" name="RightSide" descr="Sides" hidden="1">
                <a:extLst>
                  <a:ext uri="{63B3BB69-23CF-44E3-9099-C40C66FF867C}">
                    <a14:compatExt spid="_x0000_s52252"/>
                  </a:ext>
                  <a:ext uri="{FF2B5EF4-FFF2-40B4-BE49-F238E27FC236}">
                    <a16:creationId xmlns:a16="http://schemas.microsoft.com/office/drawing/2014/main" id="{00000000-0008-0000-0100-00001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3" name="TopSide" descr="Sides" hidden="1">
                <a:extLst>
                  <a:ext uri="{63B3BB69-23CF-44E3-9099-C40C66FF867C}">
                    <a14:compatExt spid="_x0000_s52253"/>
                  </a:ext>
                  <a:ext uri="{FF2B5EF4-FFF2-40B4-BE49-F238E27FC236}">
                    <a16:creationId xmlns:a16="http://schemas.microsoft.com/office/drawing/2014/main" id="{00000000-0008-0000-0100-00001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4" name="BottomSide" descr="Sides" hidden="1">
                <a:extLst>
                  <a:ext uri="{63B3BB69-23CF-44E3-9099-C40C66FF867C}">
                    <a14:compatExt spid="_x0000_s52254"/>
                  </a:ext>
                  <a:ext uri="{FF2B5EF4-FFF2-40B4-BE49-F238E27FC236}">
                    <a16:creationId xmlns:a16="http://schemas.microsoft.com/office/drawing/2014/main" id="{00000000-0008-0000-0100-00001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13</xdr:row>
          <xdr:rowOff>9525</xdr:rowOff>
        </xdr:from>
        <xdr:to>
          <xdr:col>19</xdr:col>
          <xdr:colOff>628650</xdr:colOff>
          <xdr:row>13</xdr:row>
          <xdr:rowOff>180975</xdr:rowOff>
        </xdr:to>
        <xdr:grpSp>
          <xdr:nvGrpSpPr>
            <xdr:cNvPr id="54324" name="Group 47">
              <a:extLst>
                <a:ext uri="{FF2B5EF4-FFF2-40B4-BE49-F238E27FC236}">
                  <a16:creationId xmlns:a16="http://schemas.microsoft.com/office/drawing/2014/main" id="{00000000-0008-0000-0100-000034D40000}"/>
                </a:ext>
              </a:extLst>
            </xdr:cNvPr>
            <xdr:cNvGrpSpPr>
              <a:grpSpLocks/>
            </xdr:cNvGrpSpPr>
          </xdr:nvGrpSpPr>
          <xdr:grpSpPr bwMode="auto">
            <a:xfrm>
              <a:off x="12418219" y="2688431"/>
              <a:ext cx="628650" cy="171450"/>
              <a:chOff x="9794814" y="1273175"/>
              <a:chExt cx="746189" cy="149225"/>
            </a:xfrm>
          </xdr:grpSpPr>
          <xdr:sp macro="" textlink="">
            <xdr:nvSpPr>
              <xdr:cNvPr id="52255" name="LeftSide" descr="Sides" hidden="1">
                <a:extLst>
                  <a:ext uri="{63B3BB69-23CF-44E3-9099-C40C66FF867C}">
                    <a14:compatExt spid="_x0000_s52255"/>
                  </a:ext>
                  <a:ext uri="{FF2B5EF4-FFF2-40B4-BE49-F238E27FC236}">
                    <a16:creationId xmlns:a16="http://schemas.microsoft.com/office/drawing/2014/main" id="{00000000-0008-0000-0100-00001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6" name="RightSide" descr="Sides" hidden="1">
                <a:extLst>
                  <a:ext uri="{63B3BB69-23CF-44E3-9099-C40C66FF867C}">
                    <a14:compatExt spid="_x0000_s52256"/>
                  </a:ext>
                  <a:ext uri="{FF2B5EF4-FFF2-40B4-BE49-F238E27FC236}">
                    <a16:creationId xmlns:a16="http://schemas.microsoft.com/office/drawing/2014/main" id="{00000000-0008-0000-0100-00002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7" name="TopSide" descr="Sides" hidden="1">
                <a:extLst>
                  <a:ext uri="{63B3BB69-23CF-44E3-9099-C40C66FF867C}">
                    <a14:compatExt spid="_x0000_s52257"/>
                  </a:ext>
                  <a:ext uri="{FF2B5EF4-FFF2-40B4-BE49-F238E27FC236}">
                    <a16:creationId xmlns:a16="http://schemas.microsoft.com/office/drawing/2014/main" id="{00000000-0008-0000-0100-00002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58" name="BottomSide" descr="Sides" hidden="1">
                <a:extLst>
                  <a:ext uri="{63B3BB69-23CF-44E3-9099-C40C66FF867C}">
                    <a14:compatExt spid="_x0000_s52258"/>
                  </a:ext>
                  <a:ext uri="{FF2B5EF4-FFF2-40B4-BE49-F238E27FC236}">
                    <a16:creationId xmlns:a16="http://schemas.microsoft.com/office/drawing/2014/main" id="{00000000-0008-0000-0100-00002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14</xdr:row>
          <xdr:rowOff>9525</xdr:rowOff>
        </xdr:from>
        <xdr:to>
          <xdr:col>19</xdr:col>
          <xdr:colOff>628650</xdr:colOff>
          <xdr:row>14</xdr:row>
          <xdr:rowOff>180975</xdr:rowOff>
        </xdr:to>
        <xdr:grpSp>
          <xdr:nvGrpSpPr>
            <xdr:cNvPr id="54325" name="Group 52">
              <a:extLst>
                <a:ext uri="{FF2B5EF4-FFF2-40B4-BE49-F238E27FC236}">
                  <a16:creationId xmlns:a16="http://schemas.microsoft.com/office/drawing/2014/main" id="{00000000-0008-0000-0100-000035D40000}"/>
                </a:ext>
              </a:extLst>
            </xdr:cNvPr>
            <xdr:cNvGrpSpPr>
              <a:grpSpLocks/>
            </xdr:cNvGrpSpPr>
          </xdr:nvGrpSpPr>
          <xdr:grpSpPr bwMode="auto">
            <a:xfrm>
              <a:off x="12418219" y="2890838"/>
              <a:ext cx="628650" cy="171450"/>
              <a:chOff x="9794814" y="1273175"/>
              <a:chExt cx="746189" cy="149225"/>
            </a:xfrm>
          </xdr:grpSpPr>
          <xdr:sp macro="" textlink="">
            <xdr:nvSpPr>
              <xdr:cNvPr id="52259" name="LeftSide" descr="Sides" hidden="1">
                <a:extLst>
                  <a:ext uri="{63B3BB69-23CF-44E3-9099-C40C66FF867C}">
                    <a14:compatExt spid="_x0000_s52259"/>
                  </a:ext>
                  <a:ext uri="{FF2B5EF4-FFF2-40B4-BE49-F238E27FC236}">
                    <a16:creationId xmlns:a16="http://schemas.microsoft.com/office/drawing/2014/main" id="{00000000-0008-0000-0100-00002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0" name="RightSide" descr="Sides" hidden="1">
                <a:extLst>
                  <a:ext uri="{63B3BB69-23CF-44E3-9099-C40C66FF867C}">
                    <a14:compatExt spid="_x0000_s52260"/>
                  </a:ext>
                  <a:ext uri="{FF2B5EF4-FFF2-40B4-BE49-F238E27FC236}">
                    <a16:creationId xmlns:a16="http://schemas.microsoft.com/office/drawing/2014/main" id="{00000000-0008-0000-0100-00002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1" name="TopSide" descr="Sides" hidden="1">
                <a:extLst>
                  <a:ext uri="{63B3BB69-23CF-44E3-9099-C40C66FF867C}">
                    <a14:compatExt spid="_x0000_s52261"/>
                  </a:ext>
                  <a:ext uri="{FF2B5EF4-FFF2-40B4-BE49-F238E27FC236}">
                    <a16:creationId xmlns:a16="http://schemas.microsoft.com/office/drawing/2014/main" id="{00000000-0008-0000-0100-00002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2" name="BottomSide" descr="Sides" hidden="1">
                <a:extLst>
                  <a:ext uri="{63B3BB69-23CF-44E3-9099-C40C66FF867C}">
                    <a14:compatExt spid="_x0000_s52262"/>
                  </a:ext>
                  <a:ext uri="{FF2B5EF4-FFF2-40B4-BE49-F238E27FC236}">
                    <a16:creationId xmlns:a16="http://schemas.microsoft.com/office/drawing/2014/main" id="{00000000-0008-0000-0100-00002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15</xdr:row>
          <xdr:rowOff>19050</xdr:rowOff>
        </xdr:from>
        <xdr:to>
          <xdr:col>19</xdr:col>
          <xdr:colOff>628650</xdr:colOff>
          <xdr:row>15</xdr:row>
          <xdr:rowOff>180975</xdr:rowOff>
        </xdr:to>
        <xdr:grpSp>
          <xdr:nvGrpSpPr>
            <xdr:cNvPr id="54326" name="Group 57">
              <a:extLst>
                <a:ext uri="{FF2B5EF4-FFF2-40B4-BE49-F238E27FC236}">
                  <a16:creationId xmlns:a16="http://schemas.microsoft.com/office/drawing/2014/main" id="{00000000-0008-0000-0100-000036D40000}"/>
                </a:ext>
              </a:extLst>
            </xdr:cNvPr>
            <xdr:cNvGrpSpPr>
              <a:grpSpLocks/>
            </xdr:cNvGrpSpPr>
          </xdr:nvGrpSpPr>
          <xdr:grpSpPr bwMode="auto">
            <a:xfrm>
              <a:off x="12418219" y="3102769"/>
              <a:ext cx="628650" cy="161925"/>
              <a:chOff x="9794814" y="1273175"/>
              <a:chExt cx="746189" cy="149225"/>
            </a:xfrm>
          </xdr:grpSpPr>
          <xdr:sp macro="" textlink="">
            <xdr:nvSpPr>
              <xdr:cNvPr id="52263" name="LeftSide" descr="Sides" hidden="1">
                <a:extLst>
                  <a:ext uri="{63B3BB69-23CF-44E3-9099-C40C66FF867C}">
                    <a14:compatExt spid="_x0000_s52263"/>
                  </a:ext>
                  <a:ext uri="{FF2B5EF4-FFF2-40B4-BE49-F238E27FC236}">
                    <a16:creationId xmlns:a16="http://schemas.microsoft.com/office/drawing/2014/main" id="{00000000-0008-0000-0100-00002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4" name="RightSide" descr="Sides" hidden="1">
                <a:extLst>
                  <a:ext uri="{63B3BB69-23CF-44E3-9099-C40C66FF867C}">
                    <a14:compatExt spid="_x0000_s52264"/>
                  </a:ext>
                  <a:ext uri="{FF2B5EF4-FFF2-40B4-BE49-F238E27FC236}">
                    <a16:creationId xmlns:a16="http://schemas.microsoft.com/office/drawing/2014/main" id="{00000000-0008-0000-0100-00002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5" name="TopSide" descr="Sides" hidden="1">
                <a:extLst>
                  <a:ext uri="{63B3BB69-23CF-44E3-9099-C40C66FF867C}">
                    <a14:compatExt spid="_x0000_s52265"/>
                  </a:ext>
                  <a:ext uri="{FF2B5EF4-FFF2-40B4-BE49-F238E27FC236}">
                    <a16:creationId xmlns:a16="http://schemas.microsoft.com/office/drawing/2014/main" id="{00000000-0008-0000-0100-00002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6" name="BottomSide" descr="Sides" hidden="1">
                <a:extLst>
                  <a:ext uri="{63B3BB69-23CF-44E3-9099-C40C66FF867C}">
                    <a14:compatExt spid="_x0000_s52266"/>
                  </a:ext>
                  <a:ext uri="{FF2B5EF4-FFF2-40B4-BE49-F238E27FC236}">
                    <a16:creationId xmlns:a16="http://schemas.microsoft.com/office/drawing/2014/main" id="{00000000-0008-0000-0100-00002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16</xdr:row>
          <xdr:rowOff>19050</xdr:rowOff>
        </xdr:from>
        <xdr:to>
          <xdr:col>19</xdr:col>
          <xdr:colOff>628650</xdr:colOff>
          <xdr:row>16</xdr:row>
          <xdr:rowOff>180975</xdr:rowOff>
        </xdr:to>
        <xdr:grpSp>
          <xdr:nvGrpSpPr>
            <xdr:cNvPr id="54327" name="Group 62">
              <a:extLst>
                <a:ext uri="{FF2B5EF4-FFF2-40B4-BE49-F238E27FC236}">
                  <a16:creationId xmlns:a16="http://schemas.microsoft.com/office/drawing/2014/main" id="{00000000-0008-0000-0100-000037D40000}"/>
                </a:ext>
              </a:extLst>
            </xdr:cNvPr>
            <xdr:cNvGrpSpPr>
              <a:grpSpLocks/>
            </xdr:cNvGrpSpPr>
          </xdr:nvGrpSpPr>
          <xdr:grpSpPr bwMode="auto">
            <a:xfrm>
              <a:off x="12418219" y="3305175"/>
              <a:ext cx="628650" cy="161925"/>
              <a:chOff x="9794814" y="1273175"/>
              <a:chExt cx="746189" cy="149225"/>
            </a:xfrm>
          </xdr:grpSpPr>
          <xdr:sp macro="" textlink="">
            <xdr:nvSpPr>
              <xdr:cNvPr id="52267" name="LeftSide" descr="Sides" hidden="1">
                <a:extLst>
                  <a:ext uri="{63B3BB69-23CF-44E3-9099-C40C66FF867C}">
                    <a14:compatExt spid="_x0000_s52267"/>
                  </a:ext>
                  <a:ext uri="{FF2B5EF4-FFF2-40B4-BE49-F238E27FC236}">
                    <a16:creationId xmlns:a16="http://schemas.microsoft.com/office/drawing/2014/main" id="{00000000-0008-0000-0100-00002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8" name="RightSide" descr="Sides" hidden="1">
                <a:extLst>
                  <a:ext uri="{63B3BB69-23CF-44E3-9099-C40C66FF867C}">
                    <a14:compatExt spid="_x0000_s52268"/>
                  </a:ext>
                  <a:ext uri="{FF2B5EF4-FFF2-40B4-BE49-F238E27FC236}">
                    <a16:creationId xmlns:a16="http://schemas.microsoft.com/office/drawing/2014/main" id="{00000000-0008-0000-0100-00002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69" name="TopSide" descr="Sides" hidden="1">
                <a:extLst>
                  <a:ext uri="{63B3BB69-23CF-44E3-9099-C40C66FF867C}">
                    <a14:compatExt spid="_x0000_s52269"/>
                  </a:ext>
                  <a:ext uri="{FF2B5EF4-FFF2-40B4-BE49-F238E27FC236}">
                    <a16:creationId xmlns:a16="http://schemas.microsoft.com/office/drawing/2014/main" id="{00000000-0008-0000-0100-00002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0" name="BottomSide" descr="Sides" hidden="1">
                <a:extLst>
                  <a:ext uri="{63B3BB69-23CF-44E3-9099-C40C66FF867C}">
                    <a14:compatExt spid="_x0000_s52270"/>
                  </a:ext>
                  <a:ext uri="{FF2B5EF4-FFF2-40B4-BE49-F238E27FC236}">
                    <a16:creationId xmlns:a16="http://schemas.microsoft.com/office/drawing/2014/main" id="{00000000-0008-0000-0100-00002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17</xdr:row>
          <xdr:rowOff>19050</xdr:rowOff>
        </xdr:from>
        <xdr:to>
          <xdr:col>19</xdr:col>
          <xdr:colOff>628650</xdr:colOff>
          <xdr:row>17</xdr:row>
          <xdr:rowOff>190500</xdr:rowOff>
        </xdr:to>
        <xdr:grpSp>
          <xdr:nvGrpSpPr>
            <xdr:cNvPr id="54328" name="Group 67">
              <a:extLst>
                <a:ext uri="{FF2B5EF4-FFF2-40B4-BE49-F238E27FC236}">
                  <a16:creationId xmlns:a16="http://schemas.microsoft.com/office/drawing/2014/main" id="{00000000-0008-0000-0100-000038D40000}"/>
                </a:ext>
              </a:extLst>
            </xdr:cNvPr>
            <xdr:cNvGrpSpPr>
              <a:grpSpLocks/>
            </xdr:cNvGrpSpPr>
          </xdr:nvGrpSpPr>
          <xdr:grpSpPr bwMode="auto">
            <a:xfrm>
              <a:off x="12418219" y="3507581"/>
              <a:ext cx="628650" cy="171450"/>
              <a:chOff x="9794814" y="1273175"/>
              <a:chExt cx="746189" cy="149225"/>
            </a:xfrm>
          </xdr:grpSpPr>
          <xdr:sp macro="" textlink="">
            <xdr:nvSpPr>
              <xdr:cNvPr id="52271" name="LeftSide" descr="Sides" hidden="1">
                <a:extLst>
                  <a:ext uri="{63B3BB69-23CF-44E3-9099-C40C66FF867C}">
                    <a14:compatExt spid="_x0000_s52271"/>
                  </a:ext>
                  <a:ext uri="{FF2B5EF4-FFF2-40B4-BE49-F238E27FC236}">
                    <a16:creationId xmlns:a16="http://schemas.microsoft.com/office/drawing/2014/main" id="{00000000-0008-0000-0100-00002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2" name="RightSide" descr="Sides" hidden="1">
                <a:extLst>
                  <a:ext uri="{63B3BB69-23CF-44E3-9099-C40C66FF867C}">
                    <a14:compatExt spid="_x0000_s52272"/>
                  </a:ext>
                  <a:ext uri="{FF2B5EF4-FFF2-40B4-BE49-F238E27FC236}">
                    <a16:creationId xmlns:a16="http://schemas.microsoft.com/office/drawing/2014/main" id="{00000000-0008-0000-0100-00003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3" name="TopSide" descr="Sides" hidden="1">
                <a:extLst>
                  <a:ext uri="{63B3BB69-23CF-44E3-9099-C40C66FF867C}">
                    <a14:compatExt spid="_x0000_s52273"/>
                  </a:ext>
                  <a:ext uri="{FF2B5EF4-FFF2-40B4-BE49-F238E27FC236}">
                    <a16:creationId xmlns:a16="http://schemas.microsoft.com/office/drawing/2014/main" id="{00000000-0008-0000-0100-00003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4" name="BottomSide" descr="Sides" hidden="1">
                <a:extLst>
                  <a:ext uri="{63B3BB69-23CF-44E3-9099-C40C66FF867C}">
                    <a14:compatExt spid="_x0000_s52274"/>
                  </a:ext>
                  <a:ext uri="{FF2B5EF4-FFF2-40B4-BE49-F238E27FC236}">
                    <a16:creationId xmlns:a16="http://schemas.microsoft.com/office/drawing/2014/main" id="{00000000-0008-0000-0100-00003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18</xdr:row>
          <xdr:rowOff>19050</xdr:rowOff>
        </xdr:from>
        <xdr:to>
          <xdr:col>19</xdr:col>
          <xdr:colOff>628650</xdr:colOff>
          <xdr:row>18</xdr:row>
          <xdr:rowOff>190500</xdr:rowOff>
        </xdr:to>
        <xdr:grpSp>
          <xdr:nvGrpSpPr>
            <xdr:cNvPr id="54329" name="Group 72">
              <a:extLst>
                <a:ext uri="{FF2B5EF4-FFF2-40B4-BE49-F238E27FC236}">
                  <a16:creationId xmlns:a16="http://schemas.microsoft.com/office/drawing/2014/main" id="{00000000-0008-0000-0100-000039D40000}"/>
                </a:ext>
              </a:extLst>
            </xdr:cNvPr>
            <xdr:cNvGrpSpPr>
              <a:grpSpLocks/>
            </xdr:cNvGrpSpPr>
          </xdr:nvGrpSpPr>
          <xdr:grpSpPr bwMode="auto">
            <a:xfrm>
              <a:off x="12418219" y="3709988"/>
              <a:ext cx="628650" cy="171450"/>
              <a:chOff x="9794814" y="1273175"/>
              <a:chExt cx="746189" cy="149225"/>
            </a:xfrm>
          </xdr:grpSpPr>
          <xdr:sp macro="" textlink="">
            <xdr:nvSpPr>
              <xdr:cNvPr id="52275" name="LeftSide" descr="Sides" hidden="1">
                <a:extLst>
                  <a:ext uri="{63B3BB69-23CF-44E3-9099-C40C66FF867C}">
                    <a14:compatExt spid="_x0000_s52275"/>
                  </a:ext>
                  <a:ext uri="{FF2B5EF4-FFF2-40B4-BE49-F238E27FC236}">
                    <a16:creationId xmlns:a16="http://schemas.microsoft.com/office/drawing/2014/main" id="{00000000-0008-0000-0100-00003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6" name="RightSide" descr="Sides" hidden="1">
                <a:extLst>
                  <a:ext uri="{63B3BB69-23CF-44E3-9099-C40C66FF867C}">
                    <a14:compatExt spid="_x0000_s52276"/>
                  </a:ext>
                  <a:ext uri="{FF2B5EF4-FFF2-40B4-BE49-F238E27FC236}">
                    <a16:creationId xmlns:a16="http://schemas.microsoft.com/office/drawing/2014/main" id="{00000000-0008-0000-0100-00003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7" name="TopSide" descr="Sides" hidden="1">
                <a:extLst>
                  <a:ext uri="{63B3BB69-23CF-44E3-9099-C40C66FF867C}">
                    <a14:compatExt spid="_x0000_s52277"/>
                  </a:ext>
                  <a:ext uri="{FF2B5EF4-FFF2-40B4-BE49-F238E27FC236}">
                    <a16:creationId xmlns:a16="http://schemas.microsoft.com/office/drawing/2014/main" id="{00000000-0008-0000-0100-00003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78" name="BottomSide" descr="Sides" hidden="1">
                <a:extLst>
                  <a:ext uri="{63B3BB69-23CF-44E3-9099-C40C66FF867C}">
                    <a14:compatExt spid="_x0000_s52278"/>
                  </a:ext>
                  <a:ext uri="{FF2B5EF4-FFF2-40B4-BE49-F238E27FC236}">
                    <a16:creationId xmlns:a16="http://schemas.microsoft.com/office/drawing/2014/main" id="{00000000-0008-0000-0100-00003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19</xdr:row>
          <xdr:rowOff>19050</xdr:rowOff>
        </xdr:from>
        <xdr:to>
          <xdr:col>19</xdr:col>
          <xdr:colOff>628650</xdr:colOff>
          <xdr:row>19</xdr:row>
          <xdr:rowOff>190500</xdr:rowOff>
        </xdr:to>
        <xdr:grpSp>
          <xdr:nvGrpSpPr>
            <xdr:cNvPr id="54330" name="Group 77">
              <a:extLst>
                <a:ext uri="{FF2B5EF4-FFF2-40B4-BE49-F238E27FC236}">
                  <a16:creationId xmlns:a16="http://schemas.microsoft.com/office/drawing/2014/main" id="{00000000-0008-0000-0100-00003AD40000}"/>
                </a:ext>
              </a:extLst>
            </xdr:cNvPr>
            <xdr:cNvGrpSpPr>
              <a:grpSpLocks/>
            </xdr:cNvGrpSpPr>
          </xdr:nvGrpSpPr>
          <xdr:grpSpPr bwMode="auto">
            <a:xfrm>
              <a:off x="12418219" y="3912394"/>
              <a:ext cx="628650" cy="171450"/>
              <a:chOff x="9794814" y="1273175"/>
              <a:chExt cx="746189" cy="149225"/>
            </a:xfrm>
          </xdr:grpSpPr>
          <xdr:sp macro="" textlink="">
            <xdr:nvSpPr>
              <xdr:cNvPr id="52279" name="LeftSide" descr="Sides" hidden="1">
                <a:extLst>
                  <a:ext uri="{63B3BB69-23CF-44E3-9099-C40C66FF867C}">
                    <a14:compatExt spid="_x0000_s52279"/>
                  </a:ext>
                  <a:ext uri="{FF2B5EF4-FFF2-40B4-BE49-F238E27FC236}">
                    <a16:creationId xmlns:a16="http://schemas.microsoft.com/office/drawing/2014/main" id="{00000000-0008-0000-0100-00003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0" name="RightSide" descr="Sides" hidden="1">
                <a:extLst>
                  <a:ext uri="{63B3BB69-23CF-44E3-9099-C40C66FF867C}">
                    <a14:compatExt spid="_x0000_s52280"/>
                  </a:ext>
                  <a:ext uri="{FF2B5EF4-FFF2-40B4-BE49-F238E27FC236}">
                    <a16:creationId xmlns:a16="http://schemas.microsoft.com/office/drawing/2014/main" id="{00000000-0008-0000-0100-00003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1" name="TopSide" descr="Sides" hidden="1">
                <a:extLst>
                  <a:ext uri="{63B3BB69-23CF-44E3-9099-C40C66FF867C}">
                    <a14:compatExt spid="_x0000_s52281"/>
                  </a:ext>
                  <a:ext uri="{FF2B5EF4-FFF2-40B4-BE49-F238E27FC236}">
                    <a16:creationId xmlns:a16="http://schemas.microsoft.com/office/drawing/2014/main" id="{00000000-0008-0000-0100-00003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2" name="BottomSide" descr="Sides" hidden="1">
                <a:extLst>
                  <a:ext uri="{63B3BB69-23CF-44E3-9099-C40C66FF867C}">
                    <a14:compatExt spid="_x0000_s52282"/>
                  </a:ext>
                  <a:ext uri="{FF2B5EF4-FFF2-40B4-BE49-F238E27FC236}">
                    <a16:creationId xmlns:a16="http://schemas.microsoft.com/office/drawing/2014/main" id="{00000000-0008-0000-0100-00003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20</xdr:row>
          <xdr:rowOff>19050</xdr:rowOff>
        </xdr:from>
        <xdr:to>
          <xdr:col>19</xdr:col>
          <xdr:colOff>628650</xdr:colOff>
          <xdr:row>20</xdr:row>
          <xdr:rowOff>190500</xdr:rowOff>
        </xdr:to>
        <xdr:grpSp>
          <xdr:nvGrpSpPr>
            <xdr:cNvPr id="54331" name="Group 82">
              <a:extLst>
                <a:ext uri="{FF2B5EF4-FFF2-40B4-BE49-F238E27FC236}">
                  <a16:creationId xmlns:a16="http://schemas.microsoft.com/office/drawing/2014/main" id="{00000000-0008-0000-0100-00003BD40000}"/>
                </a:ext>
              </a:extLst>
            </xdr:cNvPr>
            <xdr:cNvGrpSpPr>
              <a:grpSpLocks/>
            </xdr:cNvGrpSpPr>
          </xdr:nvGrpSpPr>
          <xdr:grpSpPr bwMode="auto">
            <a:xfrm>
              <a:off x="12418219" y="4114800"/>
              <a:ext cx="628650" cy="171450"/>
              <a:chOff x="9794814" y="1273175"/>
              <a:chExt cx="746189" cy="149225"/>
            </a:xfrm>
          </xdr:grpSpPr>
          <xdr:sp macro="" textlink="">
            <xdr:nvSpPr>
              <xdr:cNvPr id="52283" name="LeftSide" descr="Sides" hidden="1">
                <a:extLst>
                  <a:ext uri="{63B3BB69-23CF-44E3-9099-C40C66FF867C}">
                    <a14:compatExt spid="_x0000_s52283"/>
                  </a:ext>
                  <a:ext uri="{FF2B5EF4-FFF2-40B4-BE49-F238E27FC236}">
                    <a16:creationId xmlns:a16="http://schemas.microsoft.com/office/drawing/2014/main" id="{00000000-0008-0000-0100-00003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4" name="RightSide" descr="Sides" hidden="1">
                <a:extLst>
                  <a:ext uri="{63B3BB69-23CF-44E3-9099-C40C66FF867C}">
                    <a14:compatExt spid="_x0000_s52284"/>
                  </a:ext>
                  <a:ext uri="{FF2B5EF4-FFF2-40B4-BE49-F238E27FC236}">
                    <a16:creationId xmlns:a16="http://schemas.microsoft.com/office/drawing/2014/main" id="{00000000-0008-0000-0100-00003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5" name="TopSide" descr="Sides" hidden="1">
                <a:extLst>
                  <a:ext uri="{63B3BB69-23CF-44E3-9099-C40C66FF867C}">
                    <a14:compatExt spid="_x0000_s52285"/>
                  </a:ext>
                  <a:ext uri="{FF2B5EF4-FFF2-40B4-BE49-F238E27FC236}">
                    <a16:creationId xmlns:a16="http://schemas.microsoft.com/office/drawing/2014/main" id="{00000000-0008-0000-0100-00003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6" name="BottomSide" descr="Sides" hidden="1">
                <a:extLst>
                  <a:ext uri="{63B3BB69-23CF-44E3-9099-C40C66FF867C}">
                    <a14:compatExt spid="_x0000_s52286"/>
                  </a:ext>
                  <a:ext uri="{FF2B5EF4-FFF2-40B4-BE49-F238E27FC236}">
                    <a16:creationId xmlns:a16="http://schemas.microsoft.com/office/drawing/2014/main" id="{00000000-0008-0000-0100-00003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21</xdr:row>
          <xdr:rowOff>19050</xdr:rowOff>
        </xdr:from>
        <xdr:to>
          <xdr:col>19</xdr:col>
          <xdr:colOff>628650</xdr:colOff>
          <xdr:row>21</xdr:row>
          <xdr:rowOff>190500</xdr:rowOff>
        </xdr:to>
        <xdr:grpSp>
          <xdr:nvGrpSpPr>
            <xdr:cNvPr id="54332" name="Group 87">
              <a:extLst>
                <a:ext uri="{FF2B5EF4-FFF2-40B4-BE49-F238E27FC236}">
                  <a16:creationId xmlns:a16="http://schemas.microsoft.com/office/drawing/2014/main" id="{00000000-0008-0000-0100-00003CD40000}"/>
                </a:ext>
              </a:extLst>
            </xdr:cNvPr>
            <xdr:cNvGrpSpPr>
              <a:grpSpLocks/>
            </xdr:cNvGrpSpPr>
          </xdr:nvGrpSpPr>
          <xdr:grpSpPr bwMode="auto">
            <a:xfrm>
              <a:off x="12418219" y="4317206"/>
              <a:ext cx="628650" cy="171450"/>
              <a:chOff x="9794814" y="1273175"/>
              <a:chExt cx="746189" cy="149225"/>
            </a:xfrm>
          </xdr:grpSpPr>
          <xdr:sp macro="" textlink="">
            <xdr:nvSpPr>
              <xdr:cNvPr id="52287" name="LeftSide" descr="Sides" hidden="1">
                <a:extLst>
                  <a:ext uri="{63B3BB69-23CF-44E3-9099-C40C66FF867C}">
                    <a14:compatExt spid="_x0000_s52287"/>
                  </a:ext>
                  <a:ext uri="{FF2B5EF4-FFF2-40B4-BE49-F238E27FC236}">
                    <a16:creationId xmlns:a16="http://schemas.microsoft.com/office/drawing/2014/main" id="{00000000-0008-0000-0100-00003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8" name="RightSide" descr="Sides" hidden="1">
                <a:extLst>
                  <a:ext uri="{63B3BB69-23CF-44E3-9099-C40C66FF867C}">
                    <a14:compatExt spid="_x0000_s52288"/>
                  </a:ext>
                  <a:ext uri="{FF2B5EF4-FFF2-40B4-BE49-F238E27FC236}">
                    <a16:creationId xmlns:a16="http://schemas.microsoft.com/office/drawing/2014/main" id="{00000000-0008-0000-0100-00004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89" name="TopSide" descr="Sides" hidden="1">
                <a:extLst>
                  <a:ext uri="{63B3BB69-23CF-44E3-9099-C40C66FF867C}">
                    <a14:compatExt spid="_x0000_s52289"/>
                  </a:ext>
                  <a:ext uri="{FF2B5EF4-FFF2-40B4-BE49-F238E27FC236}">
                    <a16:creationId xmlns:a16="http://schemas.microsoft.com/office/drawing/2014/main" id="{00000000-0008-0000-0100-00004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0" name="BottomSide" descr="Sides" hidden="1">
                <a:extLst>
                  <a:ext uri="{63B3BB69-23CF-44E3-9099-C40C66FF867C}">
                    <a14:compatExt spid="_x0000_s52290"/>
                  </a:ext>
                  <a:ext uri="{FF2B5EF4-FFF2-40B4-BE49-F238E27FC236}">
                    <a16:creationId xmlns:a16="http://schemas.microsoft.com/office/drawing/2014/main" id="{00000000-0008-0000-0100-00004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22</xdr:row>
          <xdr:rowOff>28575</xdr:rowOff>
        </xdr:from>
        <xdr:to>
          <xdr:col>19</xdr:col>
          <xdr:colOff>628650</xdr:colOff>
          <xdr:row>22</xdr:row>
          <xdr:rowOff>190500</xdr:rowOff>
        </xdr:to>
        <xdr:grpSp>
          <xdr:nvGrpSpPr>
            <xdr:cNvPr id="54333" name="Group 92">
              <a:extLst>
                <a:ext uri="{FF2B5EF4-FFF2-40B4-BE49-F238E27FC236}">
                  <a16:creationId xmlns:a16="http://schemas.microsoft.com/office/drawing/2014/main" id="{00000000-0008-0000-0100-00003DD40000}"/>
                </a:ext>
              </a:extLst>
            </xdr:cNvPr>
            <xdr:cNvGrpSpPr>
              <a:grpSpLocks/>
            </xdr:cNvGrpSpPr>
          </xdr:nvGrpSpPr>
          <xdr:grpSpPr bwMode="auto">
            <a:xfrm>
              <a:off x="12418219" y="4529138"/>
              <a:ext cx="628650" cy="161925"/>
              <a:chOff x="9794814" y="1273175"/>
              <a:chExt cx="746189" cy="149225"/>
            </a:xfrm>
          </xdr:grpSpPr>
          <xdr:sp macro="" textlink="">
            <xdr:nvSpPr>
              <xdr:cNvPr id="52291" name="LeftSide" descr="Sides" hidden="1">
                <a:extLst>
                  <a:ext uri="{63B3BB69-23CF-44E3-9099-C40C66FF867C}">
                    <a14:compatExt spid="_x0000_s52291"/>
                  </a:ext>
                  <a:ext uri="{FF2B5EF4-FFF2-40B4-BE49-F238E27FC236}">
                    <a16:creationId xmlns:a16="http://schemas.microsoft.com/office/drawing/2014/main" id="{00000000-0008-0000-0100-000043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2" name="RightSide" descr="Sides" hidden="1">
                <a:extLst>
                  <a:ext uri="{63B3BB69-23CF-44E3-9099-C40C66FF867C}">
                    <a14:compatExt spid="_x0000_s52292"/>
                  </a:ext>
                  <a:ext uri="{FF2B5EF4-FFF2-40B4-BE49-F238E27FC236}">
                    <a16:creationId xmlns:a16="http://schemas.microsoft.com/office/drawing/2014/main" id="{00000000-0008-0000-0100-000044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3" name="TopSide" descr="Sides" hidden="1">
                <a:extLst>
                  <a:ext uri="{63B3BB69-23CF-44E3-9099-C40C66FF867C}">
                    <a14:compatExt spid="_x0000_s52293"/>
                  </a:ext>
                  <a:ext uri="{FF2B5EF4-FFF2-40B4-BE49-F238E27FC236}">
                    <a16:creationId xmlns:a16="http://schemas.microsoft.com/office/drawing/2014/main" id="{00000000-0008-0000-0100-000045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4" name="BottomSide" descr="Sides" hidden="1">
                <a:extLst>
                  <a:ext uri="{63B3BB69-23CF-44E3-9099-C40C66FF867C}">
                    <a14:compatExt spid="_x0000_s52294"/>
                  </a:ext>
                  <a:ext uri="{FF2B5EF4-FFF2-40B4-BE49-F238E27FC236}">
                    <a16:creationId xmlns:a16="http://schemas.microsoft.com/office/drawing/2014/main" id="{00000000-0008-0000-0100-000046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23</xdr:row>
          <xdr:rowOff>28575</xdr:rowOff>
        </xdr:from>
        <xdr:to>
          <xdr:col>19</xdr:col>
          <xdr:colOff>628650</xdr:colOff>
          <xdr:row>23</xdr:row>
          <xdr:rowOff>190500</xdr:rowOff>
        </xdr:to>
        <xdr:grpSp>
          <xdr:nvGrpSpPr>
            <xdr:cNvPr id="54334" name="Group 97">
              <a:extLst>
                <a:ext uri="{FF2B5EF4-FFF2-40B4-BE49-F238E27FC236}">
                  <a16:creationId xmlns:a16="http://schemas.microsoft.com/office/drawing/2014/main" id="{00000000-0008-0000-0100-00003ED40000}"/>
                </a:ext>
              </a:extLst>
            </xdr:cNvPr>
            <xdr:cNvGrpSpPr>
              <a:grpSpLocks/>
            </xdr:cNvGrpSpPr>
          </xdr:nvGrpSpPr>
          <xdr:grpSpPr bwMode="auto">
            <a:xfrm>
              <a:off x="12418219" y="4731544"/>
              <a:ext cx="628650" cy="161925"/>
              <a:chOff x="9794814" y="1273175"/>
              <a:chExt cx="746189" cy="149225"/>
            </a:xfrm>
          </xdr:grpSpPr>
          <xdr:sp macro="" textlink="">
            <xdr:nvSpPr>
              <xdr:cNvPr id="52295" name="LeftSide" descr="Sides" hidden="1">
                <a:extLst>
                  <a:ext uri="{63B3BB69-23CF-44E3-9099-C40C66FF867C}">
                    <a14:compatExt spid="_x0000_s52295"/>
                  </a:ext>
                  <a:ext uri="{FF2B5EF4-FFF2-40B4-BE49-F238E27FC236}">
                    <a16:creationId xmlns:a16="http://schemas.microsoft.com/office/drawing/2014/main" id="{00000000-0008-0000-0100-00004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6" name="RightSide" descr="Sides" hidden="1">
                <a:extLst>
                  <a:ext uri="{63B3BB69-23CF-44E3-9099-C40C66FF867C}">
                    <a14:compatExt spid="_x0000_s52296"/>
                  </a:ext>
                  <a:ext uri="{FF2B5EF4-FFF2-40B4-BE49-F238E27FC236}">
                    <a16:creationId xmlns:a16="http://schemas.microsoft.com/office/drawing/2014/main" id="{00000000-0008-0000-0100-00004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7" name="TopSide" descr="Sides" hidden="1">
                <a:extLst>
                  <a:ext uri="{63B3BB69-23CF-44E3-9099-C40C66FF867C}">
                    <a14:compatExt spid="_x0000_s52297"/>
                  </a:ext>
                  <a:ext uri="{FF2B5EF4-FFF2-40B4-BE49-F238E27FC236}">
                    <a16:creationId xmlns:a16="http://schemas.microsoft.com/office/drawing/2014/main" id="{00000000-0008-0000-0100-00004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298" name="BottomSide" descr="Sides" hidden="1">
                <a:extLst>
                  <a:ext uri="{63B3BB69-23CF-44E3-9099-C40C66FF867C}">
                    <a14:compatExt spid="_x0000_s52298"/>
                  </a:ext>
                  <a:ext uri="{FF2B5EF4-FFF2-40B4-BE49-F238E27FC236}">
                    <a16:creationId xmlns:a16="http://schemas.microsoft.com/office/drawing/2014/main" id="{00000000-0008-0000-0100-00004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24</xdr:row>
          <xdr:rowOff>28575</xdr:rowOff>
        </xdr:from>
        <xdr:to>
          <xdr:col>19</xdr:col>
          <xdr:colOff>628650</xdr:colOff>
          <xdr:row>25</xdr:row>
          <xdr:rowOff>0</xdr:rowOff>
        </xdr:to>
        <xdr:grpSp>
          <xdr:nvGrpSpPr>
            <xdr:cNvPr id="54335" name="Group 102">
              <a:extLst>
                <a:ext uri="{FF2B5EF4-FFF2-40B4-BE49-F238E27FC236}">
                  <a16:creationId xmlns:a16="http://schemas.microsoft.com/office/drawing/2014/main" id="{00000000-0008-0000-0100-00003FD40000}"/>
                </a:ext>
              </a:extLst>
            </xdr:cNvPr>
            <xdr:cNvGrpSpPr>
              <a:grpSpLocks/>
            </xdr:cNvGrpSpPr>
          </xdr:nvGrpSpPr>
          <xdr:grpSpPr bwMode="auto">
            <a:xfrm>
              <a:off x="12418219" y="4933950"/>
              <a:ext cx="628650" cy="173831"/>
              <a:chOff x="9794814" y="1273175"/>
              <a:chExt cx="746189" cy="149225"/>
            </a:xfrm>
          </xdr:grpSpPr>
          <xdr:sp macro="" textlink="">
            <xdr:nvSpPr>
              <xdr:cNvPr id="52299" name="LeftSide" descr="Sides" hidden="1">
                <a:extLst>
                  <a:ext uri="{63B3BB69-23CF-44E3-9099-C40C66FF867C}">
                    <a14:compatExt spid="_x0000_s52299"/>
                  </a:ext>
                  <a:ext uri="{FF2B5EF4-FFF2-40B4-BE49-F238E27FC236}">
                    <a16:creationId xmlns:a16="http://schemas.microsoft.com/office/drawing/2014/main" id="{00000000-0008-0000-0100-00004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0" name="RightSide" descr="Sides" hidden="1">
                <a:extLst>
                  <a:ext uri="{63B3BB69-23CF-44E3-9099-C40C66FF867C}">
                    <a14:compatExt spid="_x0000_s52300"/>
                  </a:ext>
                  <a:ext uri="{FF2B5EF4-FFF2-40B4-BE49-F238E27FC236}">
                    <a16:creationId xmlns:a16="http://schemas.microsoft.com/office/drawing/2014/main" id="{00000000-0008-0000-0100-00004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1" name="TopSide" descr="Sides" hidden="1">
                <a:extLst>
                  <a:ext uri="{63B3BB69-23CF-44E3-9099-C40C66FF867C}">
                    <a14:compatExt spid="_x0000_s52301"/>
                  </a:ext>
                  <a:ext uri="{FF2B5EF4-FFF2-40B4-BE49-F238E27FC236}">
                    <a16:creationId xmlns:a16="http://schemas.microsoft.com/office/drawing/2014/main" id="{00000000-0008-0000-0100-00004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2" name="BottomSide" descr="Sides" hidden="1">
                <a:extLst>
                  <a:ext uri="{63B3BB69-23CF-44E3-9099-C40C66FF867C}">
                    <a14:compatExt spid="_x0000_s52302"/>
                  </a:ext>
                  <a:ext uri="{FF2B5EF4-FFF2-40B4-BE49-F238E27FC236}">
                    <a16:creationId xmlns:a16="http://schemas.microsoft.com/office/drawing/2014/main" id="{00000000-0008-0000-0100-00004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25</xdr:row>
          <xdr:rowOff>28575</xdr:rowOff>
        </xdr:from>
        <xdr:to>
          <xdr:col>19</xdr:col>
          <xdr:colOff>628650</xdr:colOff>
          <xdr:row>26</xdr:row>
          <xdr:rowOff>0</xdr:rowOff>
        </xdr:to>
        <xdr:grpSp>
          <xdr:nvGrpSpPr>
            <xdr:cNvPr id="54336" name="Group 107">
              <a:extLst>
                <a:ext uri="{FF2B5EF4-FFF2-40B4-BE49-F238E27FC236}">
                  <a16:creationId xmlns:a16="http://schemas.microsoft.com/office/drawing/2014/main" id="{00000000-0008-0000-0100-000040D40000}"/>
                </a:ext>
              </a:extLst>
            </xdr:cNvPr>
            <xdr:cNvGrpSpPr>
              <a:grpSpLocks/>
            </xdr:cNvGrpSpPr>
          </xdr:nvGrpSpPr>
          <xdr:grpSpPr bwMode="auto">
            <a:xfrm>
              <a:off x="12418219" y="5136356"/>
              <a:ext cx="628650" cy="173832"/>
              <a:chOff x="9794814" y="1273175"/>
              <a:chExt cx="746189" cy="149225"/>
            </a:xfrm>
          </xdr:grpSpPr>
          <xdr:sp macro="" textlink="">
            <xdr:nvSpPr>
              <xdr:cNvPr id="52303" name="LeftSide" descr="Sides" hidden="1">
                <a:extLst>
                  <a:ext uri="{63B3BB69-23CF-44E3-9099-C40C66FF867C}">
                    <a14:compatExt spid="_x0000_s52303"/>
                  </a:ext>
                  <a:ext uri="{FF2B5EF4-FFF2-40B4-BE49-F238E27FC236}">
                    <a16:creationId xmlns:a16="http://schemas.microsoft.com/office/drawing/2014/main" id="{00000000-0008-0000-0100-00004F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4" name="RightSide" descr="Sides" hidden="1">
                <a:extLst>
                  <a:ext uri="{63B3BB69-23CF-44E3-9099-C40C66FF867C}">
                    <a14:compatExt spid="_x0000_s52304"/>
                  </a:ext>
                  <a:ext uri="{FF2B5EF4-FFF2-40B4-BE49-F238E27FC236}">
                    <a16:creationId xmlns:a16="http://schemas.microsoft.com/office/drawing/2014/main" id="{00000000-0008-0000-0100-000050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5" name="TopSide" descr="Sides" hidden="1">
                <a:extLst>
                  <a:ext uri="{63B3BB69-23CF-44E3-9099-C40C66FF867C}">
                    <a14:compatExt spid="_x0000_s52305"/>
                  </a:ext>
                  <a:ext uri="{FF2B5EF4-FFF2-40B4-BE49-F238E27FC236}">
                    <a16:creationId xmlns:a16="http://schemas.microsoft.com/office/drawing/2014/main" id="{00000000-0008-0000-0100-000051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06" name="BottomSide" descr="Sides" hidden="1">
                <a:extLst>
                  <a:ext uri="{63B3BB69-23CF-44E3-9099-C40C66FF867C}">
                    <a14:compatExt spid="_x0000_s52306"/>
                  </a:ext>
                  <a:ext uri="{FF2B5EF4-FFF2-40B4-BE49-F238E27FC236}">
                    <a16:creationId xmlns:a16="http://schemas.microsoft.com/office/drawing/2014/main" id="{00000000-0008-0000-0100-000052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6</xdr:row>
          <xdr:rowOff>0</xdr:rowOff>
        </xdr:from>
        <xdr:to>
          <xdr:col>10</xdr:col>
          <xdr:colOff>409575</xdr:colOff>
          <xdr:row>7</xdr:row>
          <xdr:rowOff>9525</xdr:rowOff>
        </xdr:to>
        <xdr:sp macro="" textlink="">
          <xdr:nvSpPr>
            <xdr:cNvPr id="52307" name="Check Box 83" hidden="1">
              <a:extLst>
                <a:ext uri="{63B3BB69-23CF-44E3-9099-C40C66FF867C}">
                  <a14:compatExt spid="_x0000_s52307"/>
                </a:ext>
                <a:ext uri="{FF2B5EF4-FFF2-40B4-BE49-F238E27FC236}">
                  <a16:creationId xmlns:a16="http://schemas.microsoft.com/office/drawing/2014/main" id="{00000000-0008-0000-0100-000053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6</xdr:row>
          <xdr:rowOff>190500</xdr:rowOff>
        </xdr:from>
        <xdr:to>
          <xdr:col>10</xdr:col>
          <xdr:colOff>409575</xdr:colOff>
          <xdr:row>8</xdr:row>
          <xdr:rowOff>0</xdr:rowOff>
        </xdr:to>
        <xdr:sp macro="" textlink="">
          <xdr:nvSpPr>
            <xdr:cNvPr id="52308" name="Check Box 84" hidden="1">
              <a:extLst>
                <a:ext uri="{63B3BB69-23CF-44E3-9099-C40C66FF867C}">
                  <a14:compatExt spid="_x0000_s52308"/>
                </a:ext>
                <a:ext uri="{FF2B5EF4-FFF2-40B4-BE49-F238E27FC236}">
                  <a16:creationId xmlns:a16="http://schemas.microsoft.com/office/drawing/2014/main" id="{00000000-0008-0000-0100-000054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8</xdr:row>
          <xdr:rowOff>0</xdr:rowOff>
        </xdr:from>
        <xdr:to>
          <xdr:col>10</xdr:col>
          <xdr:colOff>409575</xdr:colOff>
          <xdr:row>9</xdr:row>
          <xdr:rowOff>9525</xdr:rowOff>
        </xdr:to>
        <xdr:sp macro="" textlink="">
          <xdr:nvSpPr>
            <xdr:cNvPr id="52309" name="Check Box 85" hidden="1">
              <a:extLst>
                <a:ext uri="{63B3BB69-23CF-44E3-9099-C40C66FF867C}">
                  <a14:compatExt spid="_x0000_s52309"/>
                </a:ext>
                <a:ext uri="{FF2B5EF4-FFF2-40B4-BE49-F238E27FC236}">
                  <a16:creationId xmlns:a16="http://schemas.microsoft.com/office/drawing/2014/main" id="{00000000-0008-0000-0100-000055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9</xdr:row>
          <xdr:rowOff>0</xdr:rowOff>
        </xdr:from>
        <xdr:to>
          <xdr:col>10</xdr:col>
          <xdr:colOff>409575</xdr:colOff>
          <xdr:row>10</xdr:row>
          <xdr:rowOff>9525</xdr:rowOff>
        </xdr:to>
        <xdr:sp macro="" textlink="">
          <xdr:nvSpPr>
            <xdr:cNvPr id="52310" name="Check Box 86" hidden="1">
              <a:extLst>
                <a:ext uri="{63B3BB69-23CF-44E3-9099-C40C66FF867C}">
                  <a14:compatExt spid="_x0000_s52310"/>
                </a:ext>
                <a:ext uri="{FF2B5EF4-FFF2-40B4-BE49-F238E27FC236}">
                  <a16:creationId xmlns:a16="http://schemas.microsoft.com/office/drawing/2014/main" id="{00000000-0008-0000-0100-000056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9</xdr:row>
          <xdr:rowOff>190500</xdr:rowOff>
        </xdr:from>
        <xdr:to>
          <xdr:col>10</xdr:col>
          <xdr:colOff>409575</xdr:colOff>
          <xdr:row>11</xdr:row>
          <xdr:rowOff>0</xdr:rowOff>
        </xdr:to>
        <xdr:sp macro="" textlink="">
          <xdr:nvSpPr>
            <xdr:cNvPr id="52311" name="Check Box 87" hidden="1">
              <a:extLst>
                <a:ext uri="{63B3BB69-23CF-44E3-9099-C40C66FF867C}">
                  <a14:compatExt spid="_x0000_s52311"/>
                </a:ext>
                <a:ext uri="{FF2B5EF4-FFF2-40B4-BE49-F238E27FC236}">
                  <a16:creationId xmlns:a16="http://schemas.microsoft.com/office/drawing/2014/main" id="{00000000-0008-0000-0100-000057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10</xdr:row>
          <xdr:rowOff>200025</xdr:rowOff>
        </xdr:from>
        <xdr:to>
          <xdr:col>10</xdr:col>
          <xdr:colOff>409575</xdr:colOff>
          <xdr:row>12</xdr:row>
          <xdr:rowOff>9525</xdr:rowOff>
        </xdr:to>
        <xdr:sp macro="" textlink="">
          <xdr:nvSpPr>
            <xdr:cNvPr id="52312" name="Check Box 88" hidden="1">
              <a:extLst>
                <a:ext uri="{63B3BB69-23CF-44E3-9099-C40C66FF867C}">
                  <a14:compatExt spid="_x0000_s52312"/>
                </a:ext>
                <a:ext uri="{FF2B5EF4-FFF2-40B4-BE49-F238E27FC236}">
                  <a16:creationId xmlns:a16="http://schemas.microsoft.com/office/drawing/2014/main" id="{00000000-0008-0000-0100-000058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11</xdr:row>
          <xdr:rowOff>190500</xdr:rowOff>
        </xdr:from>
        <xdr:to>
          <xdr:col>10</xdr:col>
          <xdr:colOff>409575</xdr:colOff>
          <xdr:row>13</xdr:row>
          <xdr:rowOff>0</xdr:rowOff>
        </xdr:to>
        <xdr:sp macro="" textlink="">
          <xdr:nvSpPr>
            <xdr:cNvPr id="52313" name="Check Box 89" hidden="1">
              <a:extLst>
                <a:ext uri="{63B3BB69-23CF-44E3-9099-C40C66FF867C}">
                  <a14:compatExt spid="_x0000_s52313"/>
                </a:ext>
                <a:ext uri="{FF2B5EF4-FFF2-40B4-BE49-F238E27FC236}">
                  <a16:creationId xmlns:a16="http://schemas.microsoft.com/office/drawing/2014/main" id="{00000000-0008-0000-0100-000059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12</xdr:row>
          <xdr:rowOff>190500</xdr:rowOff>
        </xdr:from>
        <xdr:to>
          <xdr:col>10</xdr:col>
          <xdr:colOff>409575</xdr:colOff>
          <xdr:row>14</xdr:row>
          <xdr:rowOff>0</xdr:rowOff>
        </xdr:to>
        <xdr:sp macro="" textlink="">
          <xdr:nvSpPr>
            <xdr:cNvPr id="52314" name="Check Box 90" hidden="1">
              <a:extLst>
                <a:ext uri="{63B3BB69-23CF-44E3-9099-C40C66FF867C}">
                  <a14:compatExt spid="_x0000_s52314"/>
                </a:ext>
                <a:ext uri="{FF2B5EF4-FFF2-40B4-BE49-F238E27FC236}">
                  <a16:creationId xmlns:a16="http://schemas.microsoft.com/office/drawing/2014/main" id="{00000000-0008-0000-0100-00005A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13</xdr:row>
          <xdr:rowOff>190500</xdr:rowOff>
        </xdr:from>
        <xdr:to>
          <xdr:col>10</xdr:col>
          <xdr:colOff>409575</xdr:colOff>
          <xdr:row>15</xdr:row>
          <xdr:rowOff>0</xdr:rowOff>
        </xdr:to>
        <xdr:sp macro="" textlink="">
          <xdr:nvSpPr>
            <xdr:cNvPr id="52315" name="Check Box 91" hidden="1">
              <a:extLst>
                <a:ext uri="{63B3BB69-23CF-44E3-9099-C40C66FF867C}">
                  <a14:compatExt spid="_x0000_s52315"/>
                </a:ext>
                <a:ext uri="{FF2B5EF4-FFF2-40B4-BE49-F238E27FC236}">
                  <a16:creationId xmlns:a16="http://schemas.microsoft.com/office/drawing/2014/main" id="{00000000-0008-0000-0100-00005B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190500</xdr:rowOff>
        </xdr:from>
        <xdr:to>
          <xdr:col>10</xdr:col>
          <xdr:colOff>409575</xdr:colOff>
          <xdr:row>16</xdr:row>
          <xdr:rowOff>0</xdr:rowOff>
        </xdr:to>
        <xdr:sp macro="" textlink="">
          <xdr:nvSpPr>
            <xdr:cNvPr id="52316" name="Check Box 92" hidden="1">
              <a:extLst>
                <a:ext uri="{63B3BB69-23CF-44E3-9099-C40C66FF867C}">
                  <a14:compatExt spid="_x0000_s52316"/>
                </a:ext>
                <a:ext uri="{FF2B5EF4-FFF2-40B4-BE49-F238E27FC236}">
                  <a16:creationId xmlns:a16="http://schemas.microsoft.com/office/drawing/2014/main" id="{00000000-0008-0000-0100-00005C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15</xdr:row>
          <xdr:rowOff>190500</xdr:rowOff>
        </xdr:from>
        <xdr:to>
          <xdr:col>10</xdr:col>
          <xdr:colOff>409575</xdr:colOff>
          <xdr:row>17</xdr:row>
          <xdr:rowOff>0</xdr:rowOff>
        </xdr:to>
        <xdr:sp macro="" textlink="">
          <xdr:nvSpPr>
            <xdr:cNvPr id="52317" name="Check Box 93" hidden="1">
              <a:extLst>
                <a:ext uri="{63B3BB69-23CF-44E3-9099-C40C66FF867C}">
                  <a14:compatExt spid="_x0000_s52317"/>
                </a:ext>
                <a:ext uri="{FF2B5EF4-FFF2-40B4-BE49-F238E27FC236}">
                  <a16:creationId xmlns:a16="http://schemas.microsoft.com/office/drawing/2014/main" id="{00000000-0008-0000-0100-00005D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16</xdr:row>
          <xdr:rowOff>190500</xdr:rowOff>
        </xdr:from>
        <xdr:to>
          <xdr:col>10</xdr:col>
          <xdr:colOff>409575</xdr:colOff>
          <xdr:row>18</xdr:row>
          <xdr:rowOff>0</xdr:rowOff>
        </xdr:to>
        <xdr:sp macro="" textlink="">
          <xdr:nvSpPr>
            <xdr:cNvPr id="52318" name="Check Box 94" hidden="1">
              <a:extLst>
                <a:ext uri="{63B3BB69-23CF-44E3-9099-C40C66FF867C}">
                  <a14:compatExt spid="_x0000_s52318"/>
                </a:ext>
                <a:ext uri="{FF2B5EF4-FFF2-40B4-BE49-F238E27FC236}">
                  <a16:creationId xmlns:a16="http://schemas.microsoft.com/office/drawing/2014/main" id="{00000000-0008-0000-0100-00005E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18</xdr:row>
          <xdr:rowOff>0</xdr:rowOff>
        </xdr:from>
        <xdr:to>
          <xdr:col>10</xdr:col>
          <xdr:colOff>409575</xdr:colOff>
          <xdr:row>19</xdr:row>
          <xdr:rowOff>9525</xdr:rowOff>
        </xdr:to>
        <xdr:sp macro="" textlink="">
          <xdr:nvSpPr>
            <xdr:cNvPr id="52319" name="Check Box 95" hidden="1">
              <a:extLst>
                <a:ext uri="{63B3BB69-23CF-44E3-9099-C40C66FF867C}">
                  <a14:compatExt spid="_x0000_s52319"/>
                </a:ext>
                <a:ext uri="{FF2B5EF4-FFF2-40B4-BE49-F238E27FC236}">
                  <a16:creationId xmlns:a16="http://schemas.microsoft.com/office/drawing/2014/main" id="{00000000-0008-0000-0100-00005F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18</xdr:row>
          <xdr:rowOff>200025</xdr:rowOff>
        </xdr:from>
        <xdr:to>
          <xdr:col>10</xdr:col>
          <xdr:colOff>409575</xdr:colOff>
          <xdr:row>20</xdr:row>
          <xdr:rowOff>9525</xdr:rowOff>
        </xdr:to>
        <xdr:sp macro="" textlink="">
          <xdr:nvSpPr>
            <xdr:cNvPr id="52320" name="Check Box 96" hidden="1">
              <a:extLst>
                <a:ext uri="{63B3BB69-23CF-44E3-9099-C40C66FF867C}">
                  <a14:compatExt spid="_x0000_s52320"/>
                </a:ext>
                <a:ext uri="{FF2B5EF4-FFF2-40B4-BE49-F238E27FC236}">
                  <a16:creationId xmlns:a16="http://schemas.microsoft.com/office/drawing/2014/main" id="{00000000-0008-0000-0100-000060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19</xdr:row>
          <xdr:rowOff>190500</xdr:rowOff>
        </xdr:from>
        <xdr:to>
          <xdr:col>10</xdr:col>
          <xdr:colOff>409575</xdr:colOff>
          <xdr:row>21</xdr:row>
          <xdr:rowOff>0</xdr:rowOff>
        </xdr:to>
        <xdr:sp macro="" textlink="">
          <xdr:nvSpPr>
            <xdr:cNvPr id="52321" name="Check Box 97" hidden="1">
              <a:extLst>
                <a:ext uri="{63B3BB69-23CF-44E3-9099-C40C66FF867C}">
                  <a14:compatExt spid="_x0000_s52321"/>
                </a:ext>
                <a:ext uri="{FF2B5EF4-FFF2-40B4-BE49-F238E27FC236}">
                  <a16:creationId xmlns:a16="http://schemas.microsoft.com/office/drawing/2014/main" id="{00000000-0008-0000-0100-000061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21</xdr:row>
          <xdr:rowOff>0</xdr:rowOff>
        </xdr:from>
        <xdr:to>
          <xdr:col>10</xdr:col>
          <xdr:colOff>409575</xdr:colOff>
          <xdr:row>22</xdr:row>
          <xdr:rowOff>9525</xdr:rowOff>
        </xdr:to>
        <xdr:sp macro="" textlink="">
          <xdr:nvSpPr>
            <xdr:cNvPr id="52322" name="Check Box 98" hidden="1">
              <a:extLst>
                <a:ext uri="{63B3BB69-23CF-44E3-9099-C40C66FF867C}">
                  <a14:compatExt spid="_x0000_s52322"/>
                </a:ext>
                <a:ext uri="{FF2B5EF4-FFF2-40B4-BE49-F238E27FC236}">
                  <a16:creationId xmlns:a16="http://schemas.microsoft.com/office/drawing/2014/main" id="{00000000-0008-0000-0100-000062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21</xdr:row>
          <xdr:rowOff>190500</xdr:rowOff>
        </xdr:from>
        <xdr:to>
          <xdr:col>10</xdr:col>
          <xdr:colOff>409575</xdr:colOff>
          <xdr:row>23</xdr:row>
          <xdr:rowOff>0</xdr:rowOff>
        </xdr:to>
        <xdr:sp macro="" textlink="">
          <xdr:nvSpPr>
            <xdr:cNvPr id="52323" name="Check Box 99" hidden="1">
              <a:extLst>
                <a:ext uri="{63B3BB69-23CF-44E3-9099-C40C66FF867C}">
                  <a14:compatExt spid="_x0000_s52323"/>
                </a:ext>
                <a:ext uri="{FF2B5EF4-FFF2-40B4-BE49-F238E27FC236}">
                  <a16:creationId xmlns:a16="http://schemas.microsoft.com/office/drawing/2014/main" id="{00000000-0008-0000-0100-000063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22</xdr:row>
          <xdr:rowOff>190500</xdr:rowOff>
        </xdr:from>
        <xdr:to>
          <xdr:col>10</xdr:col>
          <xdr:colOff>409575</xdr:colOff>
          <xdr:row>24</xdr:row>
          <xdr:rowOff>0</xdr:rowOff>
        </xdr:to>
        <xdr:sp macro="" textlink="">
          <xdr:nvSpPr>
            <xdr:cNvPr id="52324" name="Check Box 100" hidden="1">
              <a:extLst>
                <a:ext uri="{63B3BB69-23CF-44E3-9099-C40C66FF867C}">
                  <a14:compatExt spid="_x0000_s52324"/>
                </a:ext>
                <a:ext uri="{FF2B5EF4-FFF2-40B4-BE49-F238E27FC236}">
                  <a16:creationId xmlns:a16="http://schemas.microsoft.com/office/drawing/2014/main" id="{00000000-0008-0000-0100-000064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23</xdr:row>
          <xdr:rowOff>190500</xdr:rowOff>
        </xdr:from>
        <xdr:to>
          <xdr:col>10</xdr:col>
          <xdr:colOff>409575</xdr:colOff>
          <xdr:row>25</xdr:row>
          <xdr:rowOff>0</xdr:rowOff>
        </xdr:to>
        <xdr:sp macro="" textlink="">
          <xdr:nvSpPr>
            <xdr:cNvPr id="52325" name="Check Box 101" hidden="1">
              <a:extLst>
                <a:ext uri="{63B3BB69-23CF-44E3-9099-C40C66FF867C}">
                  <a14:compatExt spid="_x0000_s52325"/>
                </a:ext>
                <a:ext uri="{FF2B5EF4-FFF2-40B4-BE49-F238E27FC236}">
                  <a16:creationId xmlns:a16="http://schemas.microsoft.com/office/drawing/2014/main" id="{00000000-0008-0000-0100-000065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24</xdr:row>
          <xdr:rowOff>190500</xdr:rowOff>
        </xdr:from>
        <xdr:to>
          <xdr:col>10</xdr:col>
          <xdr:colOff>409575</xdr:colOff>
          <xdr:row>26</xdr:row>
          <xdr:rowOff>0</xdr:rowOff>
        </xdr:to>
        <xdr:sp macro="" textlink="">
          <xdr:nvSpPr>
            <xdr:cNvPr id="52326" name="Check Box 102" hidden="1">
              <a:extLst>
                <a:ext uri="{63B3BB69-23CF-44E3-9099-C40C66FF867C}">
                  <a14:compatExt spid="_x0000_s52326"/>
                </a:ext>
                <a:ext uri="{FF2B5EF4-FFF2-40B4-BE49-F238E27FC236}">
                  <a16:creationId xmlns:a16="http://schemas.microsoft.com/office/drawing/2014/main" id="{00000000-0008-0000-0100-000066CC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6</xdr:row>
          <xdr:rowOff>0</xdr:rowOff>
        </xdr:from>
        <xdr:to>
          <xdr:col>20</xdr:col>
          <xdr:colOff>628650</xdr:colOff>
          <xdr:row>6</xdr:row>
          <xdr:rowOff>171450</xdr:rowOff>
        </xdr:to>
        <xdr:grpSp>
          <xdr:nvGrpSpPr>
            <xdr:cNvPr id="54337" name="Group 3">
              <a:extLst>
                <a:ext uri="{FF2B5EF4-FFF2-40B4-BE49-F238E27FC236}">
                  <a16:creationId xmlns:a16="http://schemas.microsoft.com/office/drawing/2014/main" id="{00000000-0008-0000-0100-000041D40000}"/>
                </a:ext>
              </a:extLst>
            </xdr:cNvPr>
            <xdr:cNvGrpSpPr>
              <a:grpSpLocks/>
            </xdr:cNvGrpSpPr>
          </xdr:nvGrpSpPr>
          <xdr:grpSpPr bwMode="auto">
            <a:xfrm>
              <a:off x="13084969" y="1262063"/>
              <a:ext cx="628650" cy="171450"/>
              <a:chOff x="9794814" y="1273175"/>
              <a:chExt cx="746189" cy="149225"/>
            </a:xfrm>
          </xdr:grpSpPr>
          <xdr:sp macro="" textlink="">
            <xdr:nvSpPr>
              <xdr:cNvPr id="52347" name="LeftSide" descr="Sides" hidden="1">
                <a:extLst>
                  <a:ext uri="{63B3BB69-23CF-44E3-9099-C40C66FF867C}">
                    <a14:compatExt spid="_x0000_s52347"/>
                  </a:ext>
                  <a:ext uri="{FF2B5EF4-FFF2-40B4-BE49-F238E27FC236}">
                    <a16:creationId xmlns:a16="http://schemas.microsoft.com/office/drawing/2014/main" id="{00000000-0008-0000-0100-00007B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48" name="RightSide" descr="Sides" hidden="1">
                <a:extLst>
                  <a:ext uri="{63B3BB69-23CF-44E3-9099-C40C66FF867C}">
                    <a14:compatExt spid="_x0000_s52348"/>
                  </a:ext>
                  <a:ext uri="{FF2B5EF4-FFF2-40B4-BE49-F238E27FC236}">
                    <a16:creationId xmlns:a16="http://schemas.microsoft.com/office/drawing/2014/main" id="{00000000-0008-0000-0100-00007C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49" name="TopSide" descr="Sides" hidden="1">
                <a:extLst>
                  <a:ext uri="{63B3BB69-23CF-44E3-9099-C40C66FF867C}">
                    <a14:compatExt spid="_x0000_s52349"/>
                  </a:ext>
                  <a:ext uri="{FF2B5EF4-FFF2-40B4-BE49-F238E27FC236}">
                    <a16:creationId xmlns:a16="http://schemas.microsoft.com/office/drawing/2014/main" id="{00000000-0008-0000-0100-00007D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0" name="BottomSide" descr="Sides" hidden="1">
                <a:extLst>
                  <a:ext uri="{63B3BB69-23CF-44E3-9099-C40C66FF867C}">
                    <a14:compatExt spid="_x0000_s52350"/>
                  </a:ext>
                  <a:ext uri="{FF2B5EF4-FFF2-40B4-BE49-F238E27FC236}">
                    <a16:creationId xmlns:a16="http://schemas.microsoft.com/office/drawing/2014/main" id="{00000000-0008-0000-0100-00007E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7</xdr:row>
          <xdr:rowOff>19050</xdr:rowOff>
        </xdr:from>
        <xdr:to>
          <xdr:col>20</xdr:col>
          <xdr:colOff>619125</xdr:colOff>
          <xdr:row>7</xdr:row>
          <xdr:rowOff>171450</xdr:rowOff>
        </xdr:to>
        <xdr:grpSp>
          <xdr:nvGrpSpPr>
            <xdr:cNvPr id="54338" name="Group 17">
              <a:extLst>
                <a:ext uri="{FF2B5EF4-FFF2-40B4-BE49-F238E27FC236}">
                  <a16:creationId xmlns:a16="http://schemas.microsoft.com/office/drawing/2014/main" id="{00000000-0008-0000-0100-000042D40000}"/>
                </a:ext>
              </a:extLst>
            </xdr:cNvPr>
            <xdr:cNvGrpSpPr>
              <a:grpSpLocks/>
            </xdr:cNvGrpSpPr>
          </xdr:nvGrpSpPr>
          <xdr:grpSpPr bwMode="auto">
            <a:xfrm>
              <a:off x="13084969" y="1483519"/>
              <a:ext cx="619131" cy="152400"/>
              <a:chOff x="9794921" y="1273175"/>
              <a:chExt cx="746130" cy="149225"/>
            </a:xfrm>
          </xdr:grpSpPr>
          <xdr:sp macro="" textlink="">
            <xdr:nvSpPr>
              <xdr:cNvPr id="52351" name="LeftSide" descr="Sides" hidden="1">
                <a:extLst>
                  <a:ext uri="{63B3BB69-23CF-44E3-9099-C40C66FF867C}">
                    <a14:compatExt spid="_x0000_s52351"/>
                  </a:ext>
                  <a:ext uri="{FF2B5EF4-FFF2-40B4-BE49-F238E27FC236}">
                    <a16:creationId xmlns:a16="http://schemas.microsoft.com/office/drawing/2014/main" id="{00000000-0008-0000-0100-00007F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2" name="RightSide" descr="Sides" hidden="1">
                <a:extLst>
                  <a:ext uri="{63B3BB69-23CF-44E3-9099-C40C66FF867C}">
                    <a14:compatExt spid="_x0000_s52352"/>
                  </a:ext>
                  <a:ext uri="{FF2B5EF4-FFF2-40B4-BE49-F238E27FC236}">
                    <a16:creationId xmlns:a16="http://schemas.microsoft.com/office/drawing/2014/main" id="{00000000-0008-0000-0100-000080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3" name="TopSide" descr="Sides" hidden="1">
                <a:extLst>
                  <a:ext uri="{63B3BB69-23CF-44E3-9099-C40C66FF867C}">
                    <a14:compatExt spid="_x0000_s52353"/>
                  </a:ext>
                  <a:ext uri="{FF2B5EF4-FFF2-40B4-BE49-F238E27FC236}">
                    <a16:creationId xmlns:a16="http://schemas.microsoft.com/office/drawing/2014/main" id="{00000000-0008-0000-0100-000081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4" name="BottomSide" descr="Sides" hidden="1">
                <a:extLst>
                  <a:ext uri="{63B3BB69-23CF-44E3-9099-C40C66FF867C}">
                    <a14:compatExt spid="_x0000_s52354"/>
                  </a:ext>
                  <a:ext uri="{FF2B5EF4-FFF2-40B4-BE49-F238E27FC236}">
                    <a16:creationId xmlns:a16="http://schemas.microsoft.com/office/drawing/2014/main" id="{00000000-0008-0000-0100-000082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8</xdr:row>
          <xdr:rowOff>28575</xdr:rowOff>
        </xdr:from>
        <xdr:to>
          <xdr:col>20</xdr:col>
          <xdr:colOff>619125</xdr:colOff>
          <xdr:row>8</xdr:row>
          <xdr:rowOff>171450</xdr:rowOff>
        </xdr:to>
        <xdr:grpSp>
          <xdr:nvGrpSpPr>
            <xdr:cNvPr id="54339" name="Group 22">
              <a:extLst>
                <a:ext uri="{FF2B5EF4-FFF2-40B4-BE49-F238E27FC236}">
                  <a16:creationId xmlns:a16="http://schemas.microsoft.com/office/drawing/2014/main" id="{00000000-0008-0000-0100-000043D40000}"/>
                </a:ext>
              </a:extLst>
            </xdr:cNvPr>
            <xdr:cNvGrpSpPr>
              <a:grpSpLocks/>
            </xdr:cNvGrpSpPr>
          </xdr:nvGrpSpPr>
          <xdr:grpSpPr bwMode="auto">
            <a:xfrm>
              <a:off x="13084969" y="1695450"/>
              <a:ext cx="619131" cy="142875"/>
              <a:chOff x="9794921" y="1273175"/>
              <a:chExt cx="746130" cy="149225"/>
            </a:xfrm>
          </xdr:grpSpPr>
          <xdr:sp macro="" textlink="">
            <xdr:nvSpPr>
              <xdr:cNvPr id="52355" name="LeftSide" descr="Sides" hidden="1">
                <a:extLst>
                  <a:ext uri="{63B3BB69-23CF-44E3-9099-C40C66FF867C}">
                    <a14:compatExt spid="_x0000_s52355"/>
                  </a:ext>
                  <a:ext uri="{FF2B5EF4-FFF2-40B4-BE49-F238E27FC236}">
                    <a16:creationId xmlns:a16="http://schemas.microsoft.com/office/drawing/2014/main" id="{00000000-0008-0000-0100-000083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6" name="RightSide" descr="Sides" hidden="1">
                <a:extLst>
                  <a:ext uri="{63B3BB69-23CF-44E3-9099-C40C66FF867C}">
                    <a14:compatExt spid="_x0000_s52356"/>
                  </a:ext>
                  <a:ext uri="{FF2B5EF4-FFF2-40B4-BE49-F238E27FC236}">
                    <a16:creationId xmlns:a16="http://schemas.microsoft.com/office/drawing/2014/main" id="{00000000-0008-0000-0100-000084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7" name="TopSide" descr="Sides" hidden="1">
                <a:extLst>
                  <a:ext uri="{63B3BB69-23CF-44E3-9099-C40C66FF867C}">
                    <a14:compatExt spid="_x0000_s52357"/>
                  </a:ext>
                  <a:ext uri="{FF2B5EF4-FFF2-40B4-BE49-F238E27FC236}">
                    <a16:creationId xmlns:a16="http://schemas.microsoft.com/office/drawing/2014/main" id="{00000000-0008-0000-0100-000085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58" name="BottomSide" descr="Sides" hidden="1">
                <a:extLst>
                  <a:ext uri="{63B3BB69-23CF-44E3-9099-C40C66FF867C}">
                    <a14:compatExt spid="_x0000_s52358"/>
                  </a:ext>
                  <a:ext uri="{FF2B5EF4-FFF2-40B4-BE49-F238E27FC236}">
                    <a16:creationId xmlns:a16="http://schemas.microsoft.com/office/drawing/2014/main" id="{00000000-0008-0000-0100-000086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9</xdr:row>
          <xdr:rowOff>28575</xdr:rowOff>
        </xdr:from>
        <xdr:to>
          <xdr:col>20</xdr:col>
          <xdr:colOff>619125</xdr:colOff>
          <xdr:row>9</xdr:row>
          <xdr:rowOff>171450</xdr:rowOff>
        </xdr:to>
        <xdr:grpSp>
          <xdr:nvGrpSpPr>
            <xdr:cNvPr id="54340" name="Group 27">
              <a:extLst>
                <a:ext uri="{FF2B5EF4-FFF2-40B4-BE49-F238E27FC236}">
                  <a16:creationId xmlns:a16="http://schemas.microsoft.com/office/drawing/2014/main" id="{00000000-0008-0000-0100-000044D40000}"/>
                </a:ext>
              </a:extLst>
            </xdr:cNvPr>
            <xdr:cNvGrpSpPr>
              <a:grpSpLocks/>
            </xdr:cNvGrpSpPr>
          </xdr:nvGrpSpPr>
          <xdr:grpSpPr bwMode="auto">
            <a:xfrm>
              <a:off x="13084969" y="1897856"/>
              <a:ext cx="619131" cy="142875"/>
              <a:chOff x="9794921" y="1273175"/>
              <a:chExt cx="746130" cy="149225"/>
            </a:xfrm>
          </xdr:grpSpPr>
          <xdr:sp macro="" textlink="">
            <xdr:nvSpPr>
              <xdr:cNvPr id="52359" name="LeftSide" descr="Sides" hidden="1">
                <a:extLst>
                  <a:ext uri="{63B3BB69-23CF-44E3-9099-C40C66FF867C}">
                    <a14:compatExt spid="_x0000_s52359"/>
                  </a:ext>
                  <a:ext uri="{FF2B5EF4-FFF2-40B4-BE49-F238E27FC236}">
                    <a16:creationId xmlns:a16="http://schemas.microsoft.com/office/drawing/2014/main" id="{00000000-0008-0000-0100-000087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0" name="RightSide" descr="Sides" hidden="1">
                <a:extLst>
                  <a:ext uri="{63B3BB69-23CF-44E3-9099-C40C66FF867C}">
                    <a14:compatExt spid="_x0000_s52360"/>
                  </a:ext>
                  <a:ext uri="{FF2B5EF4-FFF2-40B4-BE49-F238E27FC236}">
                    <a16:creationId xmlns:a16="http://schemas.microsoft.com/office/drawing/2014/main" id="{00000000-0008-0000-0100-000088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1" name="TopSide" descr="Sides" hidden="1">
                <a:extLst>
                  <a:ext uri="{63B3BB69-23CF-44E3-9099-C40C66FF867C}">
                    <a14:compatExt spid="_x0000_s52361"/>
                  </a:ext>
                  <a:ext uri="{FF2B5EF4-FFF2-40B4-BE49-F238E27FC236}">
                    <a16:creationId xmlns:a16="http://schemas.microsoft.com/office/drawing/2014/main" id="{00000000-0008-0000-0100-000089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2" name="BottomSide" descr="Sides" hidden="1">
                <a:extLst>
                  <a:ext uri="{63B3BB69-23CF-44E3-9099-C40C66FF867C}">
                    <a14:compatExt spid="_x0000_s52362"/>
                  </a:ext>
                  <a:ext uri="{FF2B5EF4-FFF2-40B4-BE49-F238E27FC236}">
                    <a16:creationId xmlns:a16="http://schemas.microsoft.com/office/drawing/2014/main" id="{00000000-0008-0000-0100-00008A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10</xdr:row>
          <xdr:rowOff>28575</xdr:rowOff>
        </xdr:from>
        <xdr:to>
          <xdr:col>20</xdr:col>
          <xdr:colOff>619125</xdr:colOff>
          <xdr:row>10</xdr:row>
          <xdr:rowOff>180975</xdr:rowOff>
        </xdr:to>
        <xdr:grpSp>
          <xdr:nvGrpSpPr>
            <xdr:cNvPr id="54341" name="Group 32">
              <a:extLst>
                <a:ext uri="{FF2B5EF4-FFF2-40B4-BE49-F238E27FC236}">
                  <a16:creationId xmlns:a16="http://schemas.microsoft.com/office/drawing/2014/main" id="{00000000-0008-0000-0100-000045D40000}"/>
                </a:ext>
              </a:extLst>
            </xdr:cNvPr>
            <xdr:cNvGrpSpPr>
              <a:grpSpLocks/>
            </xdr:cNvGrpSpPr>
          </xdr:nvGrpSpPr>
          <xdr:grpSpPr bwMode="auto">
            <a:xfrm>
              <a:off x="13084969" y="2100263"/>
              <a:ext cx="619131" cy="152400"/>
              <a:chOff x="9794921" y="1273175"/>
              <a:chExt cx="746130" cy="149225"/>
            </a:xfrm>
          </xdr:grpSpPr>
          <xdr:sp macro="" textlink="">
            <xdr:nvSpPr>
              <xdr:cNvPr id="52363" name="LeftSide" descr="Sides" hidden="1">
                <a:extLst>
                  <a:ext uri="{63B3BB69-23CF-44E3-9099-C40C66FF867C}">
                    <a14:compatExt spid="_x0000_s52363"/>
                  </a:ext>
                  <a:ext uri="{FF2B5EF4-FFF2-40B4-BE49-F238E27FC236}">
                    <a16:creationId xmlns:a16="http://schemas.microsoft.com/office/drawing/2014/main" id="{00000000-0008-0000-0100-00008B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4" name="RightSide" descr="Sides" hidden="1">
                <a:extLst>
                  <a:ext uri="{63B3BB69-23CF-44E3-9099-C40C66FF867C}">
                    <a14:compatExt spid="_x0000_s52364"/>
                  </a:ext>
                  <a:ext uri="{FF2B5EF4-FFF2-40B4-BE49-F238E27FC236}">
                    <a16:creationId xmlns:a16="http://schemas.microsoft.com/office/drawing/2014/main" id="{00000000-0008-0000-0100-00008C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5" name="TopSide" descr="Sides" hidden="1">
                <a:extLst>
                  <a:ext uri="{63B3BB69-23CF-44E3-9099-C40C66FF867C}">
                    <a14:compatExt spid="_x0000_s52365"/>
                  </a:ext>
                  <a:ext uri="{FF2B5EF4-FFF2-40B4-BE49-F238E27FC236}">
                    <a16:creationId xmlns:a16="http://schemas.microsoft.com/office/drawing/2014/main" id="{00000000-0008-0000-0100-00008D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6" name="BottomSide" descr="Sides" hidden="1">
                <a:extLst>
                  <a:ext uri="{63B3BB69-23CF-44E3-9099-C40C66FF867C}">
                    <a14:compatExt spid="_x0000_s52366"/>
                  </a:ext>
                  <a:ext uri="{FF2B5EF4-FFF2-40B4-BE49-F238E27FC236}">
                    <a16:creationId xmlns:a16="http://schemas.microsoft.com/office/drawing/2014/main" id="{00000000-0008-0000-0100-00008E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11</xdr:row>
          <xdr:rowOff>28575</xdr:rowOff>
        </xdr:from>
        <xdr:to>
          <xdr:col>20</xdr:col>
          <xdr:colOff>619125</xdr:colOff>
          <xdr:row>11</xdr:row>
          <xdr:rowOff>180975</xdr:rowOff>
        </xdr:to>
        <xdr:grpSp>
          <xdr:nvGrpSpPr>
            <xdr:cNvPr id="54342" name="Group 37">
              <a:extLst>
                <a:ext uri="{FF2B5EF4-FFF2-40B4-BE49-F238E27FC236}">
                  <a16:creationId xmlns:a16="http://schemas.microsoft.com/office/drawing/2014/main" id="{00000000-0008-0000-0100-000046D40000}"/>
                </a:ext>
              </a:extLst>
            </xdr:cNvPr>
            <xdr:cNvGrpSpPr>
              <a:grpSpLocks/>
            </xdr:cNvGrpSpPr>
          </xdr:nvGrpSpPr>
          <xdr:grpSpPr bwMode="auto">
            <a:xfrm>
              <a:off x="13084969" y="2302669"/>
              <a:ext cx="619131" cy="152400"/>
              <a:chOff x="9794921" y="1273175"/>
              <a:chExt cx="746130" cy="149225"/>
            </a:xfrm>
          </xdr:grpSpPr>
          <xdr:sp macro="" textlink="">
            <xdr:nvSpPr>
              <xdr:cNvPr id="52367" name="LeftSide" descr="Sides" hidden="1">
                <a:extLst>
                  <a:ext uri="{63B3BB69-23CF-44E3-9099-C40C66FF867C}">
                    <a14:compatExt spid="_x0000_s52367"/>
                  </a:ext>
                  <a:ext uri="{FF2B5EF4-FFF2-40B4-BE49-F238E27FC236}">
                    <a16:creationId xmlns:a16="http://schemas.microsoft.com/office/drawing/2014/main" id="{00000000-0008-0000-0100-00008F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8" name="RightSide" descr="Sides" hidden="1">
                <a:extLst>
                  <a:ext uri="{63B3BB69-23CF-44E3-9099-C40C66FF867C}">
                    <a14:compatExt spid="_x0000_s52368"/>
                  </a:ext>
                  <a:ext uri="{FF2B5EF4-FFF2-40B4-BE49-F238E27FC236}">
                    <a16:creationId xmlns:a16="http://schemas.microsoft.com/office/drawing/2014/main" id="{00000000-0008-0000-0100-000090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69" name="TopSide" descr="Sides" hidden="1">
                <a:extLst>
                  <a:ext uri="{63B3BB69-23CF-44E3-9099-C40C66FF867C}">
                    <a14:compatExt spid="_x0000_s52369"/>
                  </a:ext>
                  <a:ext uri="{FF2B5EF4-FFF2-40B4-BE49-F238E27FC236}">
                    <a16:creationId xmlns:a16="http://schemas.microsoft.com/office/drawing/2014/main" id="{00000000-0008-0000-0100-000091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0" name="BottomSide" descr="Sides" hidden="1">
                <a:extLst>
                  <a:ext uri="{63B3BB69-23CF-44E3-9099-C40C66FF867C}">
                    <a14:compatExt spid="_x0000_s52370"/>
                  </a:ext>
                  <a:ext uri="{FF2B5EF4-FFF2-40B4-BE49-F238E27FC236}">
                    <a16:creationId xmlns:a16="http://schemas.microsoft.com/office/drawing/2014/main" id="{00000000-0008-0000-0100-000092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12</xdr:row>
          <xdr:rowOff>28575</xdr:rowOff>
        </xdr:from>
        <xdr:to>
          <xdr:col>20</xdr:col>
          <xdr:colOff>619125</xdr:colOff>
          <xdr:row>12</xdr:row>
          <xdr:rowOff>180975</xdr:rowOff>
        </xdr:to>
        <xdr:grpSp>
          <xdr:nvGrpSpPr>
            <xdr:cNvPr id="54343" name="Group 42">
              <a:extLst>
                <a:ext uri="{FF2B5EF4-FFF2-40B4-BE49-F238E27FC236}">
                  <a16:creationId xmlns:a16="http://schemas.microsoft.com/office/drawing/2014/main" id="{00000000-0008-0000-0100-000047D40000}"/>
                </a:ext>
              </a:extLst>
            </xdr:cNvPr>
            <xdr:cNvGrpSpPr>
              <a:grpSpLocks/>
            </xdr:cNvGrpSpPr>
          </xdr:nvGrpSpPr>
          <xdr:grpSpPr bwMode="auto">
            <a:xfrm>
              <a:off x="13084969" y="2505075"/>
              <a:ext cx="619131" cy="152400"/>
              <a:chOff x="9794921" y="1273175"/>
              <a:chExt cx="746130" cy="149225"/>
            </a:xfrm>
          </xdr:grpSpPr>
          <xdr:sp macro="" textlink="">
            <xdr:nvSpPr>
              <xdr:cNvPr id="52371" name="LeftSide" descr="Sides" hidden="1">
                <a:extLst>
                  <a:ext uri="{63B3BB69-23CF-44E3-9099-C40C66FF867C}">
                    <a14:compatExt spid="_x0000_s52371"/>
                  </a:ext>
                  <a:ext uri="{FF2B5EF4-FFF2-40B4-BE49-F238E27FC236}">
                    <a16:creationId xmlns:a16="http://schemas.microsoft.com/office/drawing/2014/main" id="{00000000-0008-0000-0100-000093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2" name="RightSide" descr="Sides" hidden="1">
                <a:extLst>
                  <a:ext uri="{63B3BB69-23CF-44E3-9099-C40C66FF867C}">
                    <a14:compatExt spid="_x0000_s52372"/>
                  </a:ext>
                  <a:ext uri="{FF2B5EF4-FFF2-40B4-BE49-F238E27FC236}">
                    <a16:creationId xmlns:a16="http://schemas.microsoft.com/office/drawing/2014/main" id="{00000000-0008-0000-0100-000094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3" name="TopSide" descr="Sides" hidden="1">
                <a:extLst>
                  <a:ext uri="{63B3BB69-23CF-44E3-9099-C40C66FF867C}">
                    <a14:compatExt spid="_x0000_s52373"/>
                  </a:ext>
                  <a:ext uri="{FF2B5EF4-FFF2-40B4-BE49-F238E27FC236}">
                    <a16:creationId xmlns:a16="http://schemas.microsoft.com/office/drawing/2014/main" id="{00000000-0008-0000-0100-000095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4" name="BottomSide" descr="Sides" hidden="1">
                <a:extLst>
                  <a:ext uri="{63B3BB69-23CF-44E3-9099-C40C66FF867C}">
                    <a14:compatExt spid="_x0000_s52374"/>
                  </a:ext>
                  <a:ext uri="{FF2B5EF4-FFF2-40B4-BE49-F238E27FC236}">
                    <a16:creationId xmlns:a16="http://schemas.microsoft.com/office/drawing/2014/main" id="{00000000-0008-0000-0100-000096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13</xdr:row>
          <xdr:rowOff>28575</xdr:rowOff>
        </xdr:from>
        <xdr:to>
          <xdr:col>20</xdr:col>
          <xdr:colOff>619125</xdr:colOff>
          <xdr:row>13</xdr:row>
          <xdr:rowOff>180975</xdr:rowOff>
        </xdr:to>
        <xdr:grpSp>
          <xdr:nvGrpSpPr>
            <xdr:cNvPr id="54344" name="Group 47">
              <a:extLst>
                <a:ext uri="{FF2B5EF4-FFF2-40B4-BE49-F238E27FC236}">
                  <a16:creationId xmlns:a16="http://schemas.microsoft.com/office/drawing/2014/main" id="{00000000-0008-0000-0100-000048D40000}"/>
                </a:ext>
              </a:extLst>
            </xdr:cNvPr>
            <xdr:cNvGrpSpPr>
              <a:grpSpLocks/>
            </xdr:cNvGrpSpPr>
          </xdr:nvGrpSpPr>
          <xdr:grpSpPr bwMode="auto">
            <a:xfrm>
              <a:off x="13084969" y="2707481"/>
              <a:ext cx="619131" cy="152400"/>
              <a:chOff x="9794921" y="1273175"/>
              <a:chExt cx="746130" cy="149225"/>
            </a:xfrm>
          </xdr:grpSpPr>
          <xdr:sp macro="" textlink="">
            <xdr:nvSpPr>
              <xdr:cNvPr id="52375" name="LeftSide" descr="Sides" hidden="1">
                <a:extLst>
                  <a:ext uri="{63B3BB69-23CF-44E3-9099-C40C66FF867C}">
                    <a14:compatExt spid="_x0000_s52375"/>
                  </a:ext>
                  <a:ext uri="{FF2B5EF4-FFF2-40B4-BE49-F238E27FC236}">
                    <a16:creationId xmlns:a16="http://schemas.microsoft.com/office/drawing/2014/main" id="{00000000-0008-0000-0100-000097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6" name="RightSide" descr="Sides" hidden="1">
                <a:extLst>
                  <a:ext uri="{63B3BB69-23CF-44E3-9099-C40C66FF867C}">
                    <a14:compatExt spid="_x0000_s52376"/>
                  </a:ext>
                  <a:ext uri="{FF2B5EF4-FFF2-40B4-BE49-F238E27FC236}">
                    <a16:creationId xmlns:a16="http://schemas.microsoft.com/office/drawing/2014/main" id="{00000000-0008-0000-0100-000098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7" name="TopSide" descr="Sides" hidden="1">
                <a:extLst>
                  <a:ext uri="{63B3BB69-23CF-44E3-9099-C40C66FF867C}">
                    <a14:compatExt spid="_x0000_s52377"/>
                  </a:ext>
                  <a:ext uri="{FF2B5EF4-FFF2-40B4-BE49-F238E27FC236}">
                    <a16:creationId xmlns:a16="http://schemas.microsoft.com/office/drawing/2014/main" id="{00000000-0008-0000-0100-000099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78" name="BottomSide" descr="Sides" hidden="1">
                <a:extLst>
                  <a:ext uri="{63B3BB69-23CF-44E3-9099-C40C66FF867C}">
                    <a14:compatExt spid="_x0000_s52378"/>
                  </a:ext>
                  <a:ext uri="{FF2B5EF4-FFF2-40B4-BE49-F238E27FC236}">
                    <a16:creationId xmlns:a16="http://schemas.microsoft.com/office/drawing/2014/main" id="{00000000-0008-0000-0100-00009A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14</xdr:row>
          <xdr:rowOff>28575</xdr:rowOff>
        </xdr:from>
        <xdr:to>
          <xdr:col>20</xdr:col>
          <xdr:colOff>619125</xdr:colOff>
          <xdr:row>14</xdr:row>
          <xdr:rowOff>180975</xdr:rowOff>
        </xdr:to>
        <xdr:grpSp>
          <xdr:nvGrpSpPr>
            <xdr:cNvPr id="54345" name="Group 52">
              <a:extLst>
                <a:ext uri="{FF2B5EF4-FFF2-40B4-BE49-F238E27FC236}">
                  <a16:creationId xmlns:a16="http://schemas.microsoft.com/office/drawing/2014/main" id="{00000000-0008-0000-0100-000049D40000}"/>
                </a:ext>
              </a:extLst>
            </xdr:cNvPr>
            <xdr:cNvGrpSpPr>
              <a:grpSpLocks/>
            </xdr:cNvGrpSpPr>
          </xdr:nvGrpSpPr>
          <xdr:grpSpPr bwMode="auto">
            <a:xfrm>
              <a:off x="13084969" y="2909888"/>
              <a:ext cx="619131" cy="152400"/>
              <a:chOff x="9794921" y="1273175"/>
              <a:chExt cx="746130" cy="149225"/>
            </a:xfrm>
          </xdr:grpSpPr>
          <xdr:sp macro="" textlink="">
            <xdr:nvSpPr>
              <xdr:cNvPr id="52379" name="LeftSide" descr="Sides" hidden="1">
                <a:extLst>
                  <a:ext uri="{63B3BB69-23CF-44E3-9099-C40C66FF867C}">
                    <a14:compatExt spid="_x0000_s52379"/>
                  </a:ext>
                  <a:ext uri="{FF2B5EF4-FFF2-40B4-BE49-F238E27FC236}">
                    <a16:creationId xmlns:a16="http://schemas.microsoft.com/office/drawing/2014/main" id="{00000000-0008-0000-0100-00009B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0" name="RightSide" descr="Sides" hidden="1">
                <a:extLst>
                  <a:ext uri="{63B3BB69-23CF-44E3-9099-C40C66FF867C}">
                    <a14:compatExt spid="_x0000_s52380"/>
                  </a:ext>
                  <a:ext uri="{FF2B5EF4-FFF2-40B4-BE49-F238E27FC236}">
                    <a16:creationId xmlns:a16="http://schemas.microsoft.com/office/drawing/2014/main" id="{00000000-0008-0000-0100-00009C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1" name="TopSide" descr="Sides" hidden="1">
                <a:extLst>
                  <a:ext uri="{63B3BB69-23CF-44E3-9099-C40C66FF867C}">
                    <a14:compatExt spid="_x0000_s52381"/>
                  </a:ext>
                  <a:ext uri="{FF2B5EF4-FFF2-40B4-BE49-F238E27FC236}">
                    <a16:creationId xmlns:a16="http://schemas.microsoft.com/office/drawing/2014/main" id="{00000000-0008-0000-0100-00009D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2" name="BottomSide" descr="Sides" hidden="1">
                <a:extLst>
                  <a:ext uri="{63B3BB69-23CF-44E3-9099-C40C66FF867C}">
                    <a14:compatExt spid="_x0000_s52382"/>
                  </a:ext>
                  <a:ext uri="{FF2B5EF4-FFF2-40B4-BE49-F238E27FC236}">
                    <a16:creationId xmlns:a16="http://schemas.microsoft.com/office/drawing/2014/main" id="{00000000-0008-0000-0100-00009E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15</xdr:row>
          <xdr:rowOff>38100</xdr:rowOff>
        </xdr:from>
        <xdr:to>
          <xdr:col>20</xdr:col>
          <xdr:colOff>619125</xdr:colOff>
          <xdr:row>15</xdr:row>
          <xdr:rowOff>180975</xdr:rowOff>
        </xdr:to>
        <xdr:grpSp>
          <xdr:nvGrpSpPr>
            <xdr:cNvPr id="54346" name="Group 57">
              <a:extLst>
                <a:ext uri="{FF2B5EF4-FFF2-40B4-BE49-F238E27FC236}">
                  <a16:creationId xmlns:a16="http://schemas.microsoft.com/office/drawing/2014/main" id="{00000000-0008-0000-0100-00004AD40000}"/>
                </a:ext>
              </a:extLst>
            </xdr:cNvPr>
            <xdr:cNvGrpSpPr>
              <a:grpSpLocks/>
            </xdr:cNvGrpSpPr>
          </xdr:nvGrpSpPr>
          <xdr:grpSpPr bwMode="auto">
            <a:xfrm>
              <a:off x="13084969" y="3121819"/>
              <a:ext cx="619131" cy="142875"/>
              <a:chOff x="9794921" y="1273175"/>
              <a:chExt cx="746130" cy="149225"/>
            </a:xfrm>
          </xdr:grpSpPr>
          <xdr:sp macro="" textlink="">
            <xdr:nvSpPr>
              <xdr:cNvPr id="52383" name="LeftSide" descr="Sides" hidden="1">
                <a:extLst>
                  <a:ext uri="{63B3BB69-23CF-44E3-9099-C40C66FF867C}">
                    <a14:compatExt spid="_x0000_s52383"/>
                  </a:ext>
                  <a:ext uri="{FF2B5EF4-FFF2-40B4-BE49-F238E27FC236}">
                    <a16:creationId xmlns:a16="http://schemas.microsoft.com/office/drawing/2014/main" id="{00000000-0008-0000-0100-00009F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4" name="RightSide" descr="Sides" hidden="1">
                <a:extLst>
                  <a:ext uri="{63B3BB69-23CF-44E3-9099-C40C66FF867C}">
                    <a14:compatExt spid="_x0000_s52384"/>
                  </a:ext>
                  <a:ext uri="{FF2B5EF4-FFF2-40B4-BE49-F238E27FC236}">
                    <a16:creationId xmlns:a16="http://schemas.microsoft.com/office/drawing/2014/main" id="{00000000-0008-0000-0100-0000A0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5" name="TopSide" descr="Sides" hidden="1">
                <a:extLst>
                  <a:ext uri="{63B3BB69-23CF-44E3-9099-C40C66FF867C}">
                    <a14:compatExt spid="_x0000_s52385"/>
                  </a:ext>
                  <a:ext uri="{FF2B5EF4-FFF2-40B4-BE49-F238E27FC236}">
                    <a16:creationId xmlns:a16="http://schemas.microsoft.com/office/drawing/2014/main" id="{00000000-0008-0000-0100-0000A1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6" name="BottomSide" descr="Sides" hidden="1">
                <a:extLst>
                  <a:ext uri="{63B3BB69-23CF-44E3-9099-C40C66FF867C}">
                    <a14:compatExt spid="_x0000_s52386"/>
                  </a:ext>
                  <a:ext uri="{FF2B5EF4-FFF2-40B4-BE49-F238E27FC236}">
                    <a16:creationId xmlns:a16="http://schemas.microsoft.com/office/drawing/2014/main" id="{00000000-0008-0000-0100-0000A2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16</xdr:row>
          <xdr:rowOff>38100</xdr:rowOff>
        </xdr:from>
        <xdr:to>
          <xdr:col>20</xdr:col>
          <xdr:colOff>619125</xdr:colOff>
          <xdr:row>16</xdr:row>
          <xdr:rowOff>180975</xdr:rowOff>
        </xdr:to>
        <xdr:grpSp>
          <xdr:nvGrpSpPr>
            <xdr:cNvPr id="54347" name="Group 62">
              <a:extLst>
                <a:ext uri="{FF2B5EF4-FFF2-40B4-BE49-F238E27FC236}">
                  <a16:creationId xmlns:a16="http://schemas.microsoft.com/office/drawing/2014/main" id="{00000000-0008-0000-0100-00004BD40000}"/>
                </a:ext>
              </a:extLst>
            </xdr:cNvPr>
            <xdr:cNvGrpSpPr>
              <a:grpSpLocks/>
            </xdr:cNvGrpSpPr>
          </xdr:nvGrpSpPr>
          <xdr:grpSpPr bwMode="auto">
            <a:xfrm>
              <a:off x="13084969" y="3324225"/>
              <a:ext cx="619131" cy="142875"/>
              <a:chOff x="9794921" y="1273175"/>
              <a:chExt cx="746130" cy="149225"/>
            </a:xfrm>
          </xdr:grpSpPr>
          <xdr:sp macro="" textlink="">
            <xdr:nvSpPr>
              <xdr:cNvPr id="52387" name="LeftSide" descr="Sides" hidden="1">
                <a:extLst>
                  <a:ext uri="{63B3BB69-23CF-44E3-9099-C40C66FF867C}">
                    <a14:compatExt spid="_x0000_s52387"/>
                  </a:ext>
                  <a:ext uri="{FF2B5EF4-FFF2-40B4-BE49-F238E27FC236}">
                    <a16:creationId xmlns:a16="http://schemas.microsoft.com/office/drawing/2014/main" id="{00000000-0008-0000-0100-0000A3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8" name="RightSide" descr="Sides" hidden="1">
                <a:extLst>
                  <a:ext uri="{63B3BB69-23CF-44E3-9099-C40C66FF867C}">
                    <a14:compatExt spid="_x0000_s52388"/>
                  </a:ext>
                  <a:ext uri="{FF2B5EF4-FFF2-40B4-BE49-F238E27FC236}">
                    <a16:creationId xmlns:a16="http://schemas.microsoft.com/office/drawing/2014/main" id="{00000000-0008-0000-0100-0000A4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89" name="TopSide" descr="Sides" hidden="1">
                <a:extLst>
                  <a:ext uri="{63B3BB69-23CF-44E3-9099-C40C66FF867C}">
                    <a14:compatExt spid="_x0000_s52389"/>
                  </a:ext>
                  <a:ext uri="{FF2B5EF4-FFF2-40B4-BE49-F238E27FC236}">
                    <a16:creationId xmlns:a16="http://schemas.microsoft.com/office/drawing/2014/main" id="{00000000-0008-0000-0100-0000A5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0" name="BottomSide" descr="Sides" hidden="1">
                <a:extLst>
                  <a:ext uri="{63B3BB69-23CF-44E3-9099-C40C66FF867C}">
                    <a14:compatExt spid="_x0000_s52390"/>
                  </a:ext>
                  <a:ext uri="{FF2B5EF4-FFF2-40B4-BE49-F238E27FC236}">
                    <a16:creationId xmlns:a16="http://schemas.microsoft.com/office/drawing/2014/main" id="{00000000-0008-0000-0100-0000A6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17</xdr:row>
          <xdr:rowOff>38100</xdr:rowOff>
        </xdr:from>
        <xdr:to>
          <xdr:col>20</xdr:col>
          <xdr:colOff>619125</xdr:colOff>
          <xdr:row>17</xdr:row>
          <xdr:rowOff>190500</xdr:rowOff>
        </xdr:to>
        <xdr:grpSp>
          <xdr:nvGrpSpPr>
            <xdr:cNvPr id="54348" name="Group 67">
              <a:extLst>
                <a:ext uri="{FF2B5EF4-FFF2-40B4-BE49-F238E27FC236}">
                  <a16:creationId xmlns:a16="http://schemas.microsoft.com/office/drawing/2014/main" id="{00000000-0008-0000-0100-00004CD40000}"/>
                </a:ext>
              </a:extLst>
            </xdr:cNvPr>
            <xdr:cNvGrpSpPr>
              <a:grpSpLocks/>
            </xdr:cNvGrpSpPr>
          </xdr:nvGrpSpPr>
          <xdr:grpSpPr bwMode="auto">
            <a:xfrm>
              <a:off x="13084969" y="3526631"/>
              <a:ext cx="619131" cy="152400"/>
              <a:chOff x="9794921" y="1273175"/>
              <a:chExt cx="746130" cy="149225"/>
            </a:xfrm>
          </xdr:grpSpPr>
          <xdr:sp macro="" textlink="">
            <xdr:nvSpPr>
              <xdr:cNvPr id="52391" name="LeftSide" descr="Sides" hidden="1">
                <a:extLst>
                  <a:ext uri="{63B3BB69-23CF-44E3-9099-C40C66FF867C}">
                    <a14:compatExt spid="_x0000_s52391"/>
                  </a:ext>
                  <a:ext uri="{FF2B5EF4-FFF2-40B4-BE49-F238E27FC236}">
                    <a16:creationId xmlns:a16="http://schemas.microsoft.com/office/drawing/2014/main" id="{00000000-0008-0000-0100-0000A7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2" name="RightSide" descr="Sides" hidden="1">
                <a:extLst>
                  <a:ext uri="{63B3BB69-23CF-44E3-9099-C40C66FF867C}">
                    <a14:compatExt spid="_x0000_s52392"/>
                  </a:ext>
                  <a:ext uri="{FF2B5EF4-FFF2-40B4-BE49-F238E27FC236}">
                    <a16:creationId xmlns:a16="http://schemas.microsoft.com/office/drawing/2014/main" id="{00000000-0008-0000-0100-0000A8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3" name="TopSide" descr="Sides" hidden="1">
                <a:extLst>
                  <a:ext uri="{63B3BB69-23CF-44E3-9099-C40C66FF867C}">
                    <a14:compatExt spid="_x0000_s52393"/>
                  </a:ext>
                  <a:ext uri="{FF2B5EF4-FFF2-40B4-BE49-F238E27FC236}">
                    <a16:creationId xmlns:a16="http://schemas.microsoft.com/office/drawing/2014/main" id="{00000000-0008-0000-0100-0000A9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4" name="BottomSide" descr="Sides" hidden="1">
                <a:extLst>
                  <a:ext uri="{63B3BB69-23CF-44E3-9099-C40C66FF867C}">
                    <a14:compatExt spid="_x0000_s52394"/>
                  </a:ext>
                  <a:ext uri="{FF2B5EF4-FFF2-40B4-BE49-F238E27FC236}">
                    <a16:creationId xmlns:a16="http://schemas.microsoft.com/office/drawing/2014/main" id="{00000000-0008-0000-0100-0000AA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18</xdr:row>
          <xdr:rowOff>38100</xdr:rowOff>
        </xdr:from>
        <xdr:to>
          <xdr:col>20</xdr:col>
          <xdr:colOff>619125</xdr:colOff>
          <xdr:row>18</xdr:row>
          <xdr:rowOff>190500</xdr:rowOff>
        </xdr:to>
        <xdr:grpSp>
          <xdr:nvGrpSpPr>
            <xdr:cNvPr id="54349" name="Group 72">
              <a:extLst>
                <a:ext uri="{FF2B5EF4-FFF2-40B4-BE49-F238E27FC236}">
                  <a16:creationId xmlns:a16="http://schemas.microsoft.com/office/drawing/2014/main" id="{00000000-0008-0000-0100-00004DD40000}"/>
                </a:ext>
              </a:extLst>
            </xdr:cNvPr>
            <xdr:cNvGrpSpPr>
              <a:grpSpLocks/>
            </xdr:cNvGrpSpPr>
          </xdr:nvGrpSpPr>
          <xdr:grpSpPr bwMode="auto">
            <a:xfrm>
              <a:off x="13084969" y="3729038"/>
              <a:ext cx="619131" cy="152400"/>
              <a:chOff x="9794921" y="1273175"/>
              <a:chExt cx="746130" cy="149225"/>
            </a:xfrm>
          </xdr:grpSpPr>
          <xdr:sp macro="" textlink="">
            <xdr:nvSpPr>
              <xdr:cNvPr id="52395" name="LeftSide" descr="Sides" hidden="1">
                <a:extLst>
                  <a:ext uri="{63B3BB69-23CF-44E3-9099-C40C66FF867C}">
                    <a14:compatExt spid="_x0000_s52395"/>
                  </a:ext>
                  <a:ext uri="{FF2B5EF4-FFF2-40B4-BE49-F238E27FC236}">
                    <a16:creationId xmlns:a16="http://schemas.microsoft.com/office/drawing/2014/main" id="{00000000-0008-0000-0100-0000AB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6" name="RightSide" descr="Sides" hidden="1">
                <a:extLst>
                  <a:ext uri="{63B3BB69-23CF-44E3-9099-C40C66FF867C}">
                    <a14:compatExt spid="_x0000_s52396"/>
                  </a:ext>
                  <a:ext uri="{FF2B5EF4-FFF2-40B4-BE49-F238E27FC236}">
                    <a16:creationId xmlns:a16="http://schemas.microsoft.com/office/drawing/2014/main" id="{00000000-0008-0000-0100-0000AC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7" name="TopSide" descr="Sides" hidden="1">
                <a:extLst>
                  <a:ext uri="{63B3BB69-23CF-44E3-9099-C40C66FF867C}">
                    <a14:compatExt spid="_x0000_s52397"/>
                  </a:ext>
                  <a:ext uri="{FF2B5EF4-FFF2-40B4-BE49-F238E27FC236}">
                    <a16:creationId xmlns:a16="http://schemas.microsoft.com/office/drawing/2014/main" id="{00000000-0008-0000-0100-0000AD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398" name="BottomSide" descr="Sides" hidden="1">
                <a:extLst>
                  <a:ext uri="{63B3BB69-23CF-44E3-9099-C40C66FF867C}">
                    <a14:compatExt spid="_x0000_s52398"/>
                  </a:ext>
                  <a:ext uri="{FF2B5EF4-FFF2-40B4-BE49-F238E27FC236}">
                    <a16:creationId xmlns:a16="http://schemas.microsoft.com/office/drawing/2014/main" id="{00000000-0008-0000-0100-0000AE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19</xdr:row>
          <xdr:rowOff>38100</xdr:rowOff>
        </xdr:from>
        <xdr:to>
          <xdr:col>20</xdr:col>
          <xdr:colOff>619125</xdr:colOff>
          <xdr:row>19</xdr:row>
          <xdr:rowOff>190500</xdr:rowOff>
        </xdr:to>
        <xdr:grpSp>
          <xdr:nvGrpSpPr>
            <xdr:cNvPr id="54350" name="Group 77">
              <a:extLst>
                <a:ext uri="{FF2B5EF4-FFF2-40B4-BE49-F238E27FC236}">
                  <a16:creationId xmlns:a16="http://schemas.microsoft.com/office/drawing/2014/main" id="{00000000-0008-0000-0100-00004ED40000}"/>
                </a:ext>
              </a:extLst>
            </xdr:cNvPr>
            <xdr:cNvGrpSpPr>
              <a:grpSpLocks/>
            </xdr:cNvGrpSpPr>
          </xdr:nvGrpSpPr>
          <xdr:grpSpPr bwMode="auto">
            <a:xfrm>
              <a:off x="13084969" y="3931444"/>
              <a:ext cx="619131" cy="152400"/>
              <a:chOff x="9794921" y="1273175"/>
              <a:chExt cx="746130" cy="149225"/>
            </a:xfrm>
          </xdr:grpSpPr>
          <xdr:sp macro="" textlink="">
            <xdr:nvSpPr>
              <xdr:cNvPr id="52399" name="LeftSide" descr="Sides" hidden="1">
                <a:extLst>
                  <a:ext uri="{63B3BB69-23CF-44E3-9099-C40C66FF867C}">
                    <a14:compatExt spid="_x0000_s52399"/>
                  </a:ext>
                  <a:ext uri="{FF2B5EF4-FFF2-40B4-BE49-F238E27FC236}">
                    <a16:creationId xmlns:a16="http://schemas.microsoft.com/office/drawing/2014/main" id="{00000000-0008-0000-0100-0000AF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0" name="RightSide" descr="Sides" hidden="1">
                <a:extLst>
                  <a:ext uri="{63B3BB69-23CF-44E3-9099-C40C66FF867C}">
                    <a14:compatExt spid="_x0000_s52400"/>
                  </a:ext>
                  <a:ext uri="{FF2B5EF4-FFF2-40B4-BE49-F238E27FC236}">
                    <a16:creationId xmlns:a16="http://schemas.microsoft.com/office/drawing/2014/main" id="{00000000-0008-0000-0100-0000B0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1" name="TopSide" descr="Sides" hidden="1">
                <a:extLst>
                  <a:ext uri="{63B3BB69-23CF-44E3-9099-C40C66FF867C}">
                    <a14:compatExt spid="_x0000_s52401"/>
                  </a:ext>
                  <a:ext uri="{FF2B5EF4-FFF2-40B4-BE49-F238E27FC236}">
                    <a16:creationId xmlns:a16="http://schemas.microsoft.com/office/drawing/2014/main" id="{00000000-0008-0000-0100-0000B1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2" name="BottomSide" descr="Sides" hidden="1">
                <a:extLst>
                  <a:ext uri="{63B3BB69-23CF-44E3-9099-C40C66FF867C}">
                    <a14:compatExt spid="_x0000_s52402"/>
                  </a:ext>
                  <a:ext uri="{FF2B5EF4-FFF2-40B4-BE49-F238E27FC236}">
                    <a16:creationId xmlns:a16="http://schemas.microsoft.com/office/drawing/2014/main" id="{00000000-0008-0000-0100-0000B2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20</xdr:row>
          <xdr:rowOff>38100</xdr:rowOff>
        </xdr:from>
        <xdr:to>
          <xdr:col>20</xdr:col>
          <xdr:colOff>619125</xdr:colOff>
          <xdr:row>20</xdr:row>
          <xdr:rowOff>190500</xdr:rowOff>
        </xdr:to>
        <xdr:grpSp>
          <xdr:nvGrpSpPr>
            <xdr:cNvPr id="54351" name="Group 82">
              <a:extLst>
                <a:ext uri="{FF2B5EF4-FFF2-40B4-BE49-F238E27FC236}">
                  <a16:creationId xmlns:a16="http://schemas.microsoft.com/office/drawing/2014/main" id="{00000000-0008-0000-0100-00004FD40000}"/>
                </a:ext>
              </a:extLst>
            </xdr:cNvPr>
            <xdr:cNvGrpSpPr>
              <a:grpSpLocks/>
            </xdr:cNvGrpSpPr>
          </xdr:nvGrpSpPr>
          <xdr:grpSpPr bwMode="auto">
            <a:xfrm>
              <a:off x="13084969" y="4133850"/>
              <a:ext cx="619131" cy="152400"/>
              <a:chOff x="9794921" y="1273175"/>
              <a:chExt cx="746130" cy="149225"/>
            </a:xfrm>
          </xdr:grpSpPr>
          <xdr:sp macro="" textlink="">
            <xdr:nvSpPr>
              <xdr:cNvPr id="52403" name="LeftSide" descr="Sides" hidden="1">
                <a:extLst>
                  <a:ext uri="{63B3BB69-23CF-44E3-9099-C40C66FF867C}">
                    <a14:compatExt spid="_x0000_s52403"/>
                  </a:ext>
                  <a:ext uri="{FF2B5EF4-FFF2-40B4-BE49-F238E27FC236}">
                    <a16:creationId xmlns:a16="http://schemas.microsoft.com/office/drawing/2014/main" id="{00000000-0008-0000-0100-0000B3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4" name="RightSide" descr="Sides" hidden="1">
                <a:extLst>
                  <a:ext uri="{63B3BB69-23CF-44E3-9099-C40C66FF867C}">
                    <a14:compatExt spid="_x0000_s52404"/>
                  </a:ext>
                  <a:ext uri="{FF2B5EF4-FFF2-40B4-BE49-F238E27FC236}">
                    <a16:creationId xmlns:a16="http://schemas.microsoft.com/office/drawing/2014/main" id="{00000000-0008-0000-0100-0000B4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5" name="TopSide" descr="Sides" hidden="1">
                <a:extLst>
                  <a:ext uri="{63B3BB69-23CF-44E3-9099-C40C66FF867C}">
                    <a14:compatExt spid="_x0000_s52405"/>
                  </a:ext>
                  <a:ext uri="{FF2B5EF4-FFF2-40B4-BE49-F238E27FC236}">
                    <a16:creationId xmlns:a16="http://schemas.microsoft.com/office/drawing/2014/main" id="{00000000-0008-0000-0100-0000B5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6" name="BottomSide" descr="Sides" hidden="1">
                <a:extLst>
                  <a:ext uri="{63B3BB69-23CF-44E3-9099-C40C66FF867C}">
                    <a14:compatExt spid="_x0000_s52406"/>
                  </a:ext>
                  <a:ext uri="{FF2B5EF4-FFF2-40B4-BE49-F238E27FC236}">
                    <a16:creationId xmlns:a16="http://schemas.microsoft.com/office/drawing/2014/main" id="{00000000-0008-0000-0100-0000B6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21</xdr:row>
          <xdr:rowOff>38100</xdr:rowOff>
        </xdr:from>
        <xdr:to>
          <xdr:col>20</xdr:col>
          <xdr:colOff>619125</xdr:colOff>
          <xdr:row>21</xdr:row>
          <xdr:rowOff>190500</xdr:rowOff>
        </xdr:to>
        <xdr:grpSp>
          <xdr:nvGrpSpPr>
            <xdr:cNvPr id="54352" name="Group 87">
              <a:extLst>
                <a:ext uri="{FF2B5EF4-FFF2-40B4-BE49-F238E27FC236}">
                  <a16:creationId xmlns:a16="http://schemas.microsoft.com/office/drawing/2014/main" id="{00000000-0008-0000-0100-000050D40000}"/>
                </a:ext>
              </a:extLst>
            </xdr:cNvPr>
            <xdr:cNvGrpSpPr>
              <a:grpSpLocks/>
            </xdr:cNvGrpSpPr>
          </xdr:nvGrpSpPr>
          <xdr:grpSpPr bwMode="auto">
            <a:xfrm>
              <a:off x="13084969" y="4336256"/>
              <a:ext cx="619131" cy="152400"/>
              <a:chOff x="9794921" y="1273175"/>
              <a:chExt cx="746130" cy="149225"/>
            </a:xfrm>
          </xdr:grpSpPr>
          <xdr:sp macro="" textlink="">
            <xdr:nvSpPr>
              <xdr:cNvPr id="52407" name="LeftSide" descr="Sides" hidden="1">
                <a:extLst>
                  <a:ext uri="{63B3BB69-23CF-44E3-9099-C40C66FF867C}">
                    <a14:compatExt spid="_x0000_s52407"/>
                  </a:ext>
                  <a:ext uri="{FF2B5EF4-FFF2-40B4-BE49-F238E27FC236}">
                    <a16:creationId xmlns:a16="http://schemas.microsoft.com/office/drawing/2014/main" id="{00000000-0008-0000-0100-0000B7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8" name="RightSide" descr="Sides" hidden="1">
                <a:extLst>
                  <a:ext uri="{63B3BB69-23CF-44E3-9099-C40C66FF867C}">
                    <a14:compatExt spid="_x0000_s52408"/>
                  </a:ext>
                  <a:ext uri="{FF2B5EF4-FFF2-40B4-BE49-F238E27FC236}">
                    <a16:creationId xmlns:a16="http://schemas.microsoft.com/office/drawing/2014/main" id="{00000000-0008-0000-0100-0000B8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09" name="TopSide" descr="Sides" hidden="1">
                <a:extLst>
                  <a:ext uri="{63B3BB69-23CF-44E3-9099-C40C66FF867C}">
                    <a14:compatExt spid="_x0000_s52409"/>
                  </a:ext>
                  <a:ext uri="{FF2B5EF4-FFF2-40B4-BE49-F238E27FC236}">
                    <a16:creationId xmlns:a16="http://schemas.microsoft.com/office/drawing/2014/main" id="{00000000-0008-0000-0100-0000B9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0" name="BottomSide" descr="Sides" hidden="1">
                <a:extLst>
                  <a:ext uri="{63B3BB69-23CF-44E3-9099-C40C66FF867C}">
                    <a14:compatExt spid="_x0000_s52410"/>
                  </a:ext>
                  <a:ext uri="{FF2B5EF4-FFF2-40B4-BE49-F238E27FC236}">
                    <a16:creationId xmlns:a16="http://schemas.microsoft.com/office/drawing/2014/main" id="{00000000-0008-0000-0100-0000BA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22</xdr:row>
          <xdr:rowOff>47625</xdr:rowOff>
        </xdr:from>
        <xdr:to>
          <xdr:col>20</xdr:col>
          <xdr:colOff>619125</xdr:colOff>
          <xdr:row>22</xdr:row>
          <xdr:rowOff>190500</xdr:rowOff>
        </xdr:to>
        <xdr:grpSp>
          <xdr:nvGrpSpPr>
            <xdr:cNvPr id="54353" name="Group 92">
              <a:extLst>
                <a:ext uri="{FF2B5EF4-FFF2-40B4-BE49-F238E27FC236}">
                  <a16:creationId xmlns:a16="http://schemas.microsoft.com/office/drawing/2014/main" id="{00000000-0008-0000-0100-000051D40000}"/>
                </a:ext>
              </a:extLst>
            </xdr:cNvPr>
            <xdr:cNvGrpSpPr>
              <a:grpSpLocks/>
            </xdr:cNvGrpSpPr>
          </xdr:nvGrpSpPr>
          <xdr:grpSpPr bwMode="auto">
            <a:xfrm>
              <a:off x="13084969" y="4548188"/>
              <a:ext cx="619131" cy="142875"/>
              <a:chOff x="9794921" y="1273175"/>
              <a:chExt cx="746130" cy="149225"/>
            </a:xfrm>
          </xdr:grpSpPr>
          <xdr:sp macro="" textlink="">
            <xdr:nvSpPr>
              <xdr:cNvPr id="52411" name="LeftSide" descr="Sides" hidden="1">
                <a:extLst>
                  <a:ext uri="{63B3BB69-23CF-44E3-9099-C40C66FF867C}">
                    <a14:compatExt spid="_x0000_s52411"/>
                  </a:ext>
                  <a:ext uri="{FF2B5EF4-FFF2-40B4-BE49-F238E27FC236}">
                    <a16:creationId xmlns:a16="http://schemas.microsoft.com/office/drawing/2014/main" id="{00000000-0008-0000-0100-0000BB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2" name="RightSide" descr="Sides" hidden="1">
                <a:extLst>
                  <a:ext uri="{63B3BB69-23CF-44E3-9099-C40C66FF867C}">
                    <a14:compatExt spid="_x0000_s52412"/>
                  </a:ext>
                  <a:ext uri="{FF2B5EF4-FFF2-40B4-BE49-F238E27FC236}">
                    <a16:creationId xmlns:a16="http://schemas.microsoft.com/office/drawing/2014/main" id="{00000000-0008-0000-0100-0000BC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3" name="TopSide" descr="Sides" hidden="1">
                <a:extLst>
                  <a:ext uri="{63B3BB69-23CF-44E3-9099-C40C66FF867C}">
                    <a14:compatExt spid="_x0000_s52413"/>
                  </a:ext>
                  <a:ext uri="{FF2B5EF4-FFF2-40B4-BE49-F238E27FC236}">
                    <a16:creationId xmlns:a16="http://schemas.microsoft.com/office/drawing/2014/main" id="{00000000-0008-0000-0100-0000BD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4" name="BottomSide" descr="Sides" hidden="1">
                <a:extLst>
                  <a:ext uri="{63B3BB69-23CF-44E3-9099-C40C66FF867C}">
                    <a14:compatExt spid="_x0000_s52414"/>
                  </a:ext>
                  <a:ext uri="{FF2B5EF4-FFF2-40B4-BE49-F238E27FC236}">
                    <a16:creationId xmlns:a16="http://schemas.microsoft.com/office/drawing/2014/main" id="{00000000-0008-0000-0100-0000BE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23</xdr:row>
          <xdr:rowOff>47625</xdr:rowOff>
        </xdr:from>
        <xdr:to>
          <xdr:col>20</xdr:col>
          <xdr:colOff>619125</xdr:colOff>
          <xdr:row>23</xdr:row>
          <xdr:rowOff>190500</xdr:rowOff>
        </xdr:to>
        <xdr:grpSp>
          <xdr:nvGrpSpPr>
            <xdr:cNvPr id="54354" name="Group 97">
              <a:extLst>
                <a:ext uri="{FF2B5EF4-FFF2-40B4-BE49-F238E27FC236}">
                  <a16:creationId xmlns:a16="http://schemas.microsoft.com/office/drawing/2014/main" id="{00000000-0008-0000-0100-000052D40000}"/>
                </a:ext>
              </a:extLst>
            </xdr:cNvPr>
            <xdr:cNvGrpSpPr>
              <a:grpSpLocks/>
            </xdr:cNvGrpSpPr>
          </xdr:nvGrpSpPr>
          <xdr:grpSpPr bwMode="auto">
            <a:xfrm>
              <a:off x="13084969" y="4750594"/>
              <a:ext cx="619131" cy="142875"/>
              <a:chOff x="9794921" y="1273175"/>
              <a:chExt cx="746130" cy="149225"/>
            </a:xfrm>
          </xdr:grpSpPr>
          <xdr:sp macro="" textlink="">
            <xdr:nvSpPr>
              <xdr:cNvPr id="52415" name="LeftSide" descr="Sides" hidden="1">
                <a:extLst>
                  <a:ext uri="{63B3BB69-23CF-44E3-9099-C40C66FF867C}">
                    <a14:compatExt spid="_x0000_s52415"/>
                  </a:ext>
                  <a:ext uri="{FF2B5EF4-FFF2-40B4-BE49-F238E27FC236}">
                    <a16:creationId xmlns:a16="http://schemas.microsoft.com/office/drawing/2014/main" id="{00000000-0008-0000-0100-0000BF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6" name="RightSide" descr="Sides" hidden="1">
                <a:extLst>
                  <a:ext uri="{63B3BB69-23CF-44E3-9099-C40C66FF867C}">
                    <a14:compatExt spid="_x0000_s52416"/>
                  </a:ext>
                  <a:ext uri="{FF2B5EF4-FFF2-40B4-BE49-F238E27FC236}">
                    <a16:creationId xmlns:a16="http://schemas.microsoft.com/office/drawing/2014/main" id="{00000000-0008-0000-0100-0000C0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7" name="TopSide" descr="Sides" hidden="1">
                <a:extLst>
                  <a:ext uri="{63B3BB69-23CF-44E3-9099-C40C66FF867C}">
                    <a14:compatExt spid="_x0000_s52417"/>
                  </a:ext>
                  <a:ext uri="{FF2B5EF4-FFF2-40B4-BE49-F238E27FC236}">
                    <a16:creationId xmlns:a16="http://schemas.microsoft.com/office/drawing/2014/main" id="{00000000-0008-0000-0100-0000C1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18" name="BottomSide" descr="Sides" hidden="1">
                <a:extLst>
                  <a:ext uri="{63B3BB69-23CF-44E3-9099-C40C66FF867C}">
                    <a14:compatExt spid="_x0000_s52418"/>
                  </a:ext>
                  <a:ext uri="{FF2B5EF4-FFF2-40B4-BE49-F238E27FC236}">
                    <a16:creationId xmlns:a16="http://schemas.microsoft.com/office/drawing/2014/main" id="{00000000-0008-0000-0100-0000C2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24</xdr:row>
          <xdr:rowOff>47625</xdr:rowOff>
        </xdr:from>
        <xdr:to>
          <xdr:col>20</xdr:col>
          <xdr:colOff>619125</xdr:colOff>
          <xdr:row>25</xdr:row>
          <xdr:rowOff>0</xdr:rowOff>
        </xdr:to>
        <xdr:grpSp>
          <xdr:nvGrpSpPr>
            <xdr:cNvPr id="54355" name="Group 102">
              <a:extLst>
                <a:ext uri="{FF2B5EF4-FFF2-40B4-BE49-F238E27FC236}">
                  <a16:creationId xmlns:a16="http://schemas.microsoft.com/office/drawing/2014/main" id="{00000000-0008-0000-0100-000053D40000}"/>
                </a:ext>
              </a:extLst>
            </xdr:cNvPr>
            <xdr:cNvGrpSpPr>
              <a:grpSpLocks/>
            </xdr:cNvGrpSpPr>
          </xdr:nvGrpSpPr>
          <xdr:grpSpPr bwMode="auto">
            <a:xfrm>
              <a:off x="13084969" y="4953000"/>
              <a:ext cx="619131" cy="154781"/>
              <a:chOff x="9794921" y="1273175"/>
              <a:chExt cx="746130" cy="149225"/>
            </a:xfrm>
          </xdr:grpSpPr>
          <xdr:sp macro="" textlink="">
            <xdr:nvSpPr>
              <xdr:cNvPr id="52419" name="LeftSide" descr="Sides" hidden="1">
                <a:extLst>
                  <a:ext uri="{63B3BB69-23CF-44E3-9099-C40C66FF867C}">
                    <a14:compatExt spid="_x0000_s52419"/>
                  </a:ext>
                  <a:ext uri="{FF2B5EF4-FFF2-40B4-BE49-F238E27FC236}">
                    <a16:creationId xmlns:a16="http://schemas.microsoft.com/office/drawing/2014/main" id="{00000000-0008-0000-0100-0000C3CC0000}"/>
                  </a:ext>
                </a:extLst>
              </xdr:cNvPr>
              <xdr:cNvSpPr/>
            </xdr:nvSpPr>
            <xdr:spPr bwMode="auto">
              <a:xfrm>
                <a:off x="10185399" y="1273175"/>
                <a:ext cx="165099"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0" name="RightSide" descr="Sides" hidden="1">
                <a:extLst>
                  <a:ext uri="{63B3BB69-23CF-44E3-9099-C40C66FF867C}">
                    <a14:compatExt spid="_x0000_s52420"/>
                  </a:ext>
                  <a:ext uri="{FF2B5EF4-FFF2-40B4-BE49-F238E27FC236}">
                    <a16:creationId xmlns:a16="http://schemas.microsoft.com/office/drawing/2014/main" id="{00000000-0008-0000-0100-0000C4CC0000}"/>
                  </a:ext>
                </a:extLst>
              </xdr:cNvPr>
              <xdr:cNvSpPr/>
            </xdr:nvSpPr>
            <xdr:spPr bwMode="auto">
              <a:xfrm>
                <a:off x="10379125" y="1273175"/>
                <a:ext cx="161926"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1" name="TopSide" descr="Sides" hidden="1">
                <a:extLst>
                  <a:ext uri="{63B3BB69-23CF-44E3-9099-C40C66FF867C}">
                    <a14:compatExt spid="_x0000_s52421"/>
                  </a:ext>
                  <a:ext uri="{FF2B5EF4-FFF2-40B4-BE49-F238E27FC236}">
                    <a16:creationId xmlns:a16="http://schemas.microsoft.com/office/drawing/2014/main" id="{00000000-0008-0000-0100-0000C5CC0000}"/>
                  </a:ext>
                </a:extLst>
              </xdr:cNvPr>
              <xdr:cNvSpPr/>
            </xdr:nvSpPr>
            <xdr:spPr bwMode="auto">
              <a:xfrm>
                <a:off x="9794921"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2" name="BottomSide" descr="Sides" hidden="1">
                <a:extLst>
                  <a:ext uri="{63B3BB69-23CF-44E3-9099-C40C66FF867C}">
                    <a14:compatExt spid="_x0000_s52422"/>
                  </a:ext>
                  <a:ext uri="{FF2B5EF4-FFF2-40B4-BE49-F238E27FC236}">
                    <a16:creationId xmlns:a16="http://schemas.microsoft.com/office/drawing/2014/main" id="{00000000-0008-0000-0100-0000C6CC0000}"/>
                  </a:ext>
                </a:extLst>
              </xdr:cNvPr>
              <xdr:cNvSpPr/>
            </xdr:nvSpPr>
            <xdr:spPr bwMode="auto">
              <a:xfrm>
                <a:off x="9985375" y="1273175"/>
                <a:ext cx="161928"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25</xdr:row>
          <xdr:rowOff>47625</xdr:rowOff>
        </xdr:from>
        <xdr:to>
          <xdr:col>20</xdr:col>
          <xdr:colOff>628650</xdr:colOff>
          <xdr:row>26</xdr:row>
          <xdr:rowOff>0</xdr:rowOff>
        </xdr:to>
        <xdr:grpSp>
          <xdr:nvGrpSpPr>
            <xdr:cNvPr id="54356" name="Group 107">
              <a:extLst>
                <a:ext uri="{FF2B5EF4-FFF2-40B4-BE49-F238E27FC236}">
                  <a16:creationId xmlns:a16="http://schemas.microsoft.com/office/drawing/2014/main" id="{00000000-0008-0000-0100-000054D40000}"/>
                </a:ext>
              </a:extLst>
            </xdr:cNvPr>
            <xdr:cNvGrpSpPr>
              <a:grpSpLocks/>
            </xdr:cNvGrpSpPr>
          </xdr:nvGrpSpPr>
          <xdr:grpSpPr bwMode="auto">
            <a:xfrm>
              <a:off x="13084969" y="5155406"/>
              <a:ext cx="628650" cy="154782"/>
              <a:chOff x="9794814" y="1273175"/>
              <a:chExt cx="746189" cy="149225"/>
            </a:xfrm>
          </xdr:grpSpPr>
          <xdr:sp macro="" textlink="">
            <xdr:nvSpPr>
              <xdr:cNvPr id="52423" name="LeftSide" descr="Sides" hidden="1">
                <a:extLst>
                  <a:ext uri="{63B3BB69-23CF-44E3-9099-C40C66FF867C}">
                    <a14:compatExt spid="_x0000_s52423"/>
                  </a:ext>
                  <a:ext uri="{FF2B5EF4-FFF2-40B4-BE49-F238E27FC236}">
                    <a16:creationId xmlns:a16="http://schemas.microsoft.com/office/drawing/2014/main" id="{00000000-0008-0000-0100-0000C7CC0000}"/>
                  </a:ext>
                </a:extLst>
              </xdr:cNvPr>
              <xdr:cNvSpPr/>
            </xdr:nvSpPr>
            <xdr:spPr bwMode="auto">
              <a:xfrm>
                <a:off x="10185401" y="1273175"/>
                <a:ext cx="165098" cy="146894"/>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4" name="RightSide" descr="Sides" hidden="1">
                <a:extLst>
                  <a:ext uri="{63B3BB69-23CF-44E3-9099-C40C66FF867C}">
                    <a14:compatExt spid="_x0000_s52424"/>
                  </a:ext>
                  <a:ext uri="{FF2B5EF4-FFF2-40B4-BE49-F238E27FC236}">
                    <a16:creationId xmlns:a16="http://schemas.microsoft.com/office/drawing/2014/main" id="{00000000-0008-0000-0100-0000C8CC0000}"/>
                  </a:ext>
                </a:extLst>
              </xdr:cNvPr>
              <xdr:cNvSpPr/>
            </xdr:nvSpPr>
            <xdr:spPr bwMode="auto">
              <a:xfrm>
                <a:off x="10379078" y="1273175"/>
                <a:ext cx="161925"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5" name="TopSide" descr="Sides" hidden="1">
                <a:extLst>
                  <a:ext uri="{63B3BB69-23CF-44E3-9099-C40C66FF867C}">
                    <a14:compatExt spid="_x0000_s52425"/>
                  </a:ext>
                  <a:ext uri="{FF2B5EF4-FFF2-40B4-BE49-F238E27FC236}">
                    <a16:creationId xmlns:a16="http://schemas.microsoft.com/office/drawing/2014/main" id="{00000000-0008-0000-0100-0000C9CC0000}"/>
                  </a:ext>
                </a:extLst>
              </xdr:cNvPr>
              <xdr:cNvSpPr/>
            </xdr:nvSpPr>
            <xdr:spPr bwMode="auto">
              <a:xfrm>
                <a:off x="9794814" y="1273175"/>
                <a:ext cx="161924"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sp macro="" textlink="">
            <xdr:nvSpPr>
              <xdr:cNvPr id="52426" name="BottomSide" descr="Sides" hidden="1">
                <a:extLst>
                  <a:ext uri="{63B3BB69-23CF-44E3-9099-C40C66FF867C}">
                    <a14:compatExt spid="_x0000_s52426"/>
                  </a:ext>
                  <a:ext uri="{FF2B5EF4-FFF2-40B4-BE49-F238E27FC236}">
                    <a16:creationId xmlns:a16="http://schemas.microsoft.com/office/drawing/2014/main" id="{00000000-0008-0000-0100-0000CACC0000}"/>
                  </a:ext>
                </a:extLst>
              </xdr:cNvPr>
              <xdr:cNvSpPr/>
            </xdr:nvSpPr>
            <xdr:spPr bwMode="auto">
              <a:xfrm>
                <a:off x="9985375" y="1273175"/>
                <a:ext cx="161921" cy="149225"/>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1</xdr:row>
          <xdr:rowOff>66675</xdr:rowOff>
        </xdr:from>
        <xdr:to>
          <xdr:col>9</xdr:col>
          <xdr:colOff>57150</xdr:colOff>
          <xdr:row>4</xdr:row>
          <xdr:rowOff>38100</xdr:rowOff>
        </xdr:to>
        <xdr:sp macro="" textlink="">
          <xdr:nvSpPr>
            <xdr:cNvPr id="62465" name="Object 1" hidden="1">
              <a:extLst>
                <a:ext uri="{63B3BB69-23CF-44E3-9099-C40C66FF867C}">
                  <a14:compatExt spid="_x0000_s62465"/>
                </a:ext>
                <a:ext uri="{FF2B5EF4-FFF2-40B4-BE49-F238E27FC236}">
                  <a16:creationId xmlns:a16="http://schemas.microsoft.com/office/drawing/2014/main" id="{00000000-0008-0000-0200-000001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676275</xdr:colOff>
          <xdr:row>20</xdr:row>
          <xdr:rowOff>200025</xdr:rowOff>
        </xdr:from>
        <xdr:to>
          <xdr:col>5</xdr:col>
          <xdr:colOff>666750</xdr:colOff>
          <xdr:row>24</xdr:row>
          <xdr:rowOff>171450</xdr:rowOff>
        </xdr:to>
        <xdr:sp macro="" textlink="">
          <xdr:nvSpPr>
            <xdr:cNvPr id="62466" name="Object 2" hidden="1">
              <a:extLst>
                <a:ext uri="{63B3BB69-23CF-44E3-9099-C40C66FF867C}">
                  <a14:compatExt spid="_x0000_s62466"/>
                </a:ext>
                <a:ext uri="{FF2B5EF4-FFF2-40B4-BE49-F238E27FC236}">
                  <a16:creationId xmlns:a16="http://schemas.microsoft.com/office/drawing/2014/main" id="{00000000-0008-0000-0200-000002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20</xdr:row>
          <xdr:rowOff>200025</xdr:rowOff>
        </xdr:from>
        <xdr:to>
          <xdr:col>9</xdr:col>
          <xdr:colOff>190500</xdr:colOff>
          <xdr:row>26</xdr:row>
          <xdr:rowOff>9525</xdr:rowOff>
        </xdr:to>
        <xdr:sp macro="" textlink="">
          <xdr:nvSpPr>
            <xdr:cNvPr id="62467" name="Object 3" hidden="1">
              <a:extLst>
                <a:ext uri="{63B3BB69-23CF-44E3-9099-C40C66FF867C}">
                  <a14:compatExt spid="_x0000_s62467"/>
                </a:ext>
                <a:ext uri="{FF2B5EF4-FFF2-40B4-BE49-F238E27FC236}">
                  <a16:creationId xmlns:a16="http://schemas.microsoft.com/office/drawing/2014/main" id="{00000000-0008-0000-0200-000003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20</xdr:row>
          <xdr:rowOff>85725</xdr:rowOff>
        </xdr:from>
        <xdr:to>
          <xdr:col>16</xdr:col>
          <xdr:colOff>95250</xdr:colOff>
          <xdr:row>26</xdr:row>
          <xdr:rowOff>200025</xdr:rowOff>
        </xdr:to>
        <xdr:sp macro="" textlink="">
          <xdr:nvSpPr>
            <xdr:cNvPr id="62468" name="Object 4" hidden="1">
              <a:extLst>
                <a:ext uri="{63B3BB69-23CF-44E3-9099-C40C66FF867C}">
                  <a14:compatExt spid="_x0000_s62468"/>
                </a:ext>
                <a:ext uri="{FF2B5EF4-FFF2-40B4-BE49-F238E27FC236}">
                  <a16:creationId xmlns:a16="http://schemas.microsoft.com/office/drawing/2014/main" id="{00000000-0008-0000-0200-000004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295275</xdr:colOff>
          <xdr:row>20</xdr:row>
          <xdr:rowOff>76200</xdr:rowOff>
        </xdr:from>
        <xdr:to>
          <xdr:col>11</xdr:col>
          <xdr:colOff>438150</xdr:colOff>
          <xdr:row>27</xdr:row>
          <xdr:rowOff>85725</xdr:rowOff>
        </xdr:to>
        <xdr:sp macro="" textlink="">
          <xdr:nvSpPr>
            <xdr:cNvPr id="62469" name="Object 5" hidden="1">
              <a:extLst>
                <a:ext uri="{63B3BB69-23CF-44E3-9099-C40C66FF867C}">
                  <a14:compatExt spid="_x0000_s62469"/>
                </a:ext>
                <a:ext uri="{FF2B5EF4-FFF2-40B4-BE49-F238E27FC236}">
                  <a16:creationId xmlns:a16="http://schemas.microsoft.com/office/drawing/2014/main" id="{00000000-0008-0000-0200-000005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0</xdr:row>
          <xdr:rowOff>0</xdr:rowOff>
        </xdr:from>
        <xdr:to>
          <xdr:col>14</xdr:col>
          <xdr:colOff>161925</xdr:colOff>
          <xdr:row>8</xdr:row>
          <xdr:rowOff>0</xdr:rowOff>
        </xdr:to>
        <xdr:sp macro="" textlink="">
          <xdr:nvSpPr>
            <xdr:cNvPr id="62470" name="Object 6" hidden="1">
              <a:extLst>
                <a:ext uri="{63B3BB69-23CF-44E3-9099-C40C66FF867C}">
                  <a14:compatExt spid="_x0000_s62470"/>
                </a:ext>
                <a:ext uri="{FF2B5EF4-FFF2-40B4-BE49-F238E27FC236}">
                  <a16:creationId xmlns:a16="http://schemas.microsoft.com/office/drawing/2014/main" id="{00000000-0008-0000-0200-000006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295275</xdr:colOff>
          <xdr:row>0</xdr:row>
          <xdr:rowOff>0</xdr:rowOff>
        </xdr:from>
        <xdr:to>
          <xdr:col>16</xdr:col>
          <xdr:colOff>485775</xdr:colOff>
          <xdr:row>7</xdr:row>
          <xdr:rowOff>152400</xdr:rowOff>
        </xdr:to>
        <xdr:sp macro="" textlink="">
          <xdr:nvSpPr>
            <xdr:cNvPr id="62471" name="Object 7" hidden="1">
              <a:extLst>
                <a:ext uri="{63B3BB69-23CF-44E3-9099-C40C66FF867C}">
                  <a14:compatExt spid="_x0000_s62471"/>
                </a:ext>
                <a:ext uri="{FF2B5EF4-FFF2-40B4-BE49-F238E27FC236}">
                  <a16:creationId xmlns:a16="http://schemas.microsoft.com/office/drawing/2014/main" id="{00000000-0008-0000-0200-000007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9</xdr:row>
          <xdr:rowOff>200025</xdr:rowOff>
        </xdr:from>
        <xdr:to>
          <xdr:col>18</xdr:col>
          <xdr:colOff>571500</xdr:colOff>
          <xdr:row>15</xdr:row>
          <xdr:rowOff>19050</xdr:rowOff>
        </xdr:to>
        <xdr:sp macro="" textlink="">
          <xdr:nvSpPr>
            <xdr:cNvPr id="62472" name="Object 8" hidden="1">
              <a:extLst>
                <a:ext uri="{63B3BB69-23CF-44E3-9099-C40C66FF867C}">
                  <a14:compatExt spid="_x0000_s62472"/>
                </a:ext>
                <a:ext uri="{FF2B5EF4-FFF2-40B4-BE49-F238E27FC236}">
                  <a16:creationId xmlns:a16="http://schemas.microsoft.com/office/drawing/2014/main" id="{00000000-0008-0000-0200-000008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257175</xdr:colOff>
          <xdr:row>19</xdr:row>
          <xdr:rowOff>0</xdr:rowOff>
        </xdr:from>
        <xdr:to>
          <xdr:col>19</xdr:col>
          <xdr:colOff>295275</xdr:colOff>
          <xdr:row>23</xdr:row>
          <xdr:rowOff>161925</xdr:rowOff>
        </xdr:to>
        <xdr:sp macro="" textlink="">
          <xdr:nvSpPr>
            <xdr:cNvPr id="62473" name="Object 9" hidden="1">
              <a:extLst>
                <a:ext uri="{63B3BB69-23CF-44E3-9099-C40C66FF867C}">
                  <a14:compatExt spid="_x0000_s62473"/>
                </a:ext>
                <a:ext uri="{FF2B5EF4-FFF2-40B4-BE49-F238E27FC236}">
                  <a16:creationId xmlns:a16="http://schemas.microsoft.com/office/drawing/2014/main" id="{00000000-0008-0000-0200-000009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609600</xdr:colOff>
          <xdr:row>1</xdr:row>
          <xdr:rowOff>38100</xdr:rowOff>
        </xdr:from>
        <xdr:to>
          <xdr:col>19</xdr:col>
          <xdr:colOff>9525</xdr:colOff>
          <xdr:row>7</xdr:row>
          <xdr:rowOff>66675</xdr:rowOff>
        </xdr:to>
        <xdr:sp macro="" textlink="">
          <xdr:nvSpPr>
            <xdr:cNvPr id="62474" name="Object 10" hidden="1">
              <a:extLst>
                <a:ext uri="{63B3BB69-23CF-44E3-9099-C40C66FF867C}">
                  <a14:compatExt spid="_x0000_s62474"/>
                </a:ext>
                <a:ext uri="{FF2B5EF4-FFF2-40B4-BE49-F238E27FC236}">
                  <a16:creationId xmlns:a16="http://schemas.microsoft.com/office/drawing/2014/main" id="{00000000-0008-0000-0200-00000A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219075</xdr:colOff>
          <xdr:row>10</xdr:row>
          <xdr:rowOff>190500</xdr:rowOff>
        </xdr:from>
        <xdr:to>
          <xdr:col>16</xdr:col>
          <xdr:colOff>152400</xdr:colOff>
          <xdr:row>16</xdr:row>
          <xdr:rowOff>19050</xdr:rowOff>
        </xdr:to>
        <xdr:sp macro="" textlink="">
          <xdr:nvSpPr>
            <xdr:cNvPr id="62475" name="Object 11" hidden="1">
              <a:extLst>
                <a:ext uri="{63B3BB69-23CF-44E3-9099-C40C66FF867C}">
                  <a14:compatExt spid="_x0000_s62475"/>
                </a:ext>
                <a:ext uri="{FF2B5EF4-FFF2-40B4-BE49-F238E27FC236}">
                  <a16:creationId xmlns:a16="http://schemas.microsoft.com/office/drawing/2014/main" id="{00000000-0008-0000-0200-00000B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xdr:row>
          <xdr:rowOff>114300</xdr:rowOff>
        </xdr:from>
        <xdr:to>
          <xdr:col>11</xdr:col>
          <xdr:colOff>523875</xdr:colOff>
          <xdr:row>16</xdr:row>
          <xdr:rowOff>76200</xdr:rowOff>
        </xdr:to>
        <xdr:sp macro="" textlink="">
          <xdr:nvSpPr>
            <xdr:cNvPr id="62476" name="Object 12" hidden="1">
              <a:extLst>
                <a:ext uri="{63B3BB69-23CF-44E3-9099-C40C66FF867C}">
                  <a14:compatExt spid="_x0000_s62476"/>
                </a:ext>
                <a:ext uri="{FF2B5EF4-FFF2-40B4-BE49-F238E27FC236}">
                  <a16:creationId xmlns:a16="http://schemas.microsoft.com/office/drawing/2014/main" id="{00000000-0008-0000-0200-00000C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10</xdr:row>
          <xdr:rowOff>190500</xdr:rowOff>
        </xdr:from>
        <xdr:to>
          <xdr:col>13</xdr:col>
          <xdr:colOff>628650</xdr:colOff>
          <xdr:row>16</xdr:row>
          <xdr:rowOff>76200</xdr:rowOff>
        </xdr:to>
        <xdr:sp macro="" textlink="">
          <xdr:nvSpPr>
            <xdr:cNvPr id="62477" name="Object 13" hidden="1">
              <a:extLst>
                <a:ext uri="{63B3BB69-23CF-44E3-9099-C40C66FF867C}">
                  <a14:compatExt spid="_x0000_s62477"/>
                </a:ext>
                <a:ext uri="{FF2B5EF4-FFF2-40B4-BE49-F238E27FC236}">
                  <a16:creationId xmlns:a16="http://schemas.microsoft.com/office/drawing/2014/main" id="{00000000-0008-0000-0200-00000D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0</xdr:row>
          <xdr:rowOff>66675</xdr:rowOff>
        </xdr:from>
        <xdr:to>
          <xdr:col>11</xdr:col>
          <xdr:colOff>447675</xdr:colOff>
          <xdr:row>8</xdr:row>
          <xdr:rowOff>28575</xdr:rowOff>
        </xdr:to>
        <xdr:sp macro="" textlink="">
          <xdr:nvSpPr>
            <xdr:cNvPr id="62478" name="Object 14" hidden="1">
              <a:extLst>
                <a:ext uri="{63B3BB69-23CF-44E3-9099-C40C66FF867C}">
                  <a14:compatExt spid="_x0000_s62478"/>
                </a:ext>
                <a:ext uri="{FF2B5EF4-FFF2-40B4-BE49-F238E27FC236}">
                  <a16:creationId xmlns:a16="http://schemas.microsoft.com/office/drawing/2014/main" id="{00000000-0008-0000-0200-00000E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552450</xdr:colOff>
          <xdr:row>20</xdr:row>
          <xdr:rowOff>85725</xdr:rowOff>
        </xdr:from>
        <xdr:to>
          <xdr:col>14</xdr:col>
          <xdr:colOff>76200</xdr:colOff>
          <xdr:row>27</xdr:row>
          <xdr:rowOff>66675</xdr:rowOff>
        </xdr:to>
        <xdr:sp macro="" textlink="">
          <xdr:nvSpPr>
            <xdr:cNvPr id="62479" name="Object 15" hidden="1">
              <a:extLst>
                <a:ext uri="{63B3BB69-23CF-44E3-9099-C40C66FF867C}">
                  <a14:compatExt spid="_x0000_s62479"/>
                </a:ext>
                <a:ext uri="{FF2B5EF4-FFF2-40B4-BE49-F238E27FC236}">
                  <a16:creationId xmlns:a16="http://schemas.microsoft.com/office/drawing/2014/main" id="{00000000-0008-0000-0200-00000FF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676275</xdr:colOff>
          <xdr:row>28</xdr:row>
          <xdr:rowOff>114300</xdr:rowOff>
        </xdr:from>
        <xdr:to>
          <xdr:col>6</xdr:col>
          <xdr:colOff>76200</xdr:colOff>
          <xdr:row>37</xdr:row>
          <xdr:rowOff>66675</xdr:rowOff>
        </xdr:to>
        <xdr:sp macro="" textlink="">
          <xdr:nvSpPr>
            <xdr:cNvPr id="62480" name="Object 16" hidden="1">
              <a:extLst>
                <a:ext uri="{63B3BB69-23CF-44E3-9099-C40C66FF867C}">
                  <a14:compatExt spid="_x0000_s62480"/>
                </a:ext>
                <a:ext uri="{FF2B5EF4-FFF2-40B4-BE49-F238E27FC236}">
                  <a16:creationId xmlns:a16="http://schemas.microsoft.com/office/drawing/2014/main" id="{00000000-0008-0000-0200-000010F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523875</xdr:colOff>
          <xdr:row>30</xdr:row>
          <xdr:rowOff>161925</xdr:rowOff>
        </xdr:from>
        <xdr:to>
          <xdr:col>13</xdr:col>
          <xdr:colOff>171450</xdr:colOff>
          <xdr:row>40</xdr:row>
          <xdr:rowOff>85725</xdr:rowOff>
        </xdr:to>
        <xdr:sp macro="" textlink="">
          <xdr:nvSpPr>
            <xdr:cNvPr id="62481" name="Object 17" hidden="1">
              <a:extLst>
                <a:ext uri="{63B3BB69-23CF-44E3-9099-C40C66FF867C}">
                  <a14:compatExt spid="_x0000_s62481"/>
                </a:ext>
                <a:ext uri="{FF2B5EF4-FFF2-40B4-BE49-F238E27FC236}">
                  <a16:creationId xmlns:a16="http://schemas.microsoft.com/office/drawing/2014/main" id="{00000000-0008-0000-0200-000011F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495300</xdr:colOff>
          <xdr:row>7</xdr:row>
          <xdr:rowOff>104775</xdr:rowOff>
        </xdr:from>
        <xdr:to>
          <xdr:col>8</xdr:col>
          <xdr:colOff>104775</xdr:colOff>
          <xdr:row>14</xdr:row>
          <xdr:rowOff>66675</xdr:rowOff>
        </xdr:to>
        <xdr:sp macro="" textlink="">
          <xdr:nvSpPr>
            <xdr:cNvPr id="62482" name="Object 18" hidden="1">
              <a:extLst>
                <a:ext uri="{63B3BB69-23CF-44E3-9099-C40C66FF867C}">
                  <a14:compatExt spid="_x0000_s62482"/>
                </a:ext>
                <a:ext uri="{FF2B5EF4-FFF2-40B4-BE49-F238E27FC236}">
                  <a16:creationId xmlns:a16="http://schemas.microsoft.com/office/drawing/2014/main" id="{00000000-0008-0000-0200-000012F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180975</xdr:colOff>
      <xdr:row>3</xdr:row>
      <xdr:rowOff>123825</xdr:rowOff>
    </xdr:from>
    <xdr:to>
      <xdr:col>2</xdr:col>
      <xdr:colOff>485775</xdr:colOff>
      <xdr:row>15</xdr:row>
      <xdr:rowOff>47625</xdr:rowOff>
    </xdr:to>
    <xdr:pic>
      <xdr:nvPicPr>
        <xdr:cNvPr id="31742" name="Picture 1" descr="S-CRAFT">
          <a:extLst>
            <a:ext uri="{FF2B5EF4-FFF2-40B4-BE49-F238E27FC236}">
              <a16:creationId xmlns:a16="http://schemas.microsoft.com/office/drawing/2014/main" id="{00000000-0008-0000-0300-0000FE7B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628650"/>
          <a:ext cx="1676400" cy="2124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asswood%20Panel%20configur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swood Panel configuration"/>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59" Type="http://schemas.openxmlformats.org/officeDocument/2006/relationships/ctrlProp" Target="../ctrlProps/ctrlProp155.xml"/><Relationship Id="rId170" Type="http://schemas.openxmlformats.org/officeDocument/2006/relationships/ctrlProp" Target="../ctrlProps/ctrlProp166.xml"/><Relationship Id="rId191" Type="http://schemas.openxmlformats.org/officeDocument/2006/relationships/ctrlProp" Target="../ctrlProps/ctrlProp187.xml"/><Relationship Id="rId205" Type="http://schemas.openxmlformats.org/officeDocument/2006/relationships/ctrlProp" Target="../ctrlProps/ctrlProp201.xml"/><Relationship Id="rId16" Type="http://schemas.openxmlformats.org/officeDocument/2006/relationships/ctrlProp" Target="../ctrlProps/ctrlProp1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144" Type="http://schemas.openxmlformats.org/officeDocument/2006/relationships/ctrlProp" Target="../ctrlProps/ctrlProp140.xml"/><Relationship Id="rId149" Type="http://schemas.openxmlformats.org/officeDocument/2006/relationships/ctrlProp" Target="../ctrlProps/ctrlProp145.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160" Type="http://schemas.openxmlformats.org/officeDocument/2006/relationships/ctrlProp" Target="../ctrlProps/ctrlProp156.xml"/><Relationship Id="rId165" Type="http://schemas.openxmlformats.org/officeDocument/2006/relationships/ctrlProp" Target="../ctrlProps/ctrlProp161.xml"/><Relationship Id="rId181" Type="http://schemas.openxmlformats.org/officeDocument/2006/relationships/ctrlProp" Target="../ctrlProps/ctrlProp177.xml"/><Relationship Id="rId186" Type="http://schemas.openxmlformats.org/officeDocument/2006/relationships/ctrlProp" Target="../ctrlProps/ctrlProp182.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50" Type="http://schemas.openxmlformats.org/officeDocument/2006/relationships/ctrlProp" Target="../ctrlProps/ctrlProp146.xml"/><Relationship Id="rId155" Type="http://schemas.openxmlformats.org/officeDocument/2006/relationships/ctrlProp" Target="../ctrlProps/ctrlProp151.xml"/><Relationship Id="rId171" Type="http://schemas.openxmlformats.org/officeDocument/2006/relationships/ctrlProp" Target="../ctrlProps/ctrlProp167.xml"/><Relationship Id="rId176" Type="http://schemas.openxmlformats.org/officeDocument/2006/relationships/ctrlProp" Target="../ctrlProps/ctrlProp172.xml"/><Relationship Id="rId192" Type="http://schemas.openxmlformats.org/officeDocument/2006/relationships/ctrlProp" Target="../ctrlProps/ctrlProp188.xml"/><Relationship Id="rId197" Type="http://schemas.openxmlformats.org/officeDocument/2006/relationships/ctrlProp" Target="../ctrlProps/ctrlProp193.xml"/><Relationship Id="rId206" Type="http://schemas.openxmlformats.org/officeDocument/2006/relationships/ctrlProp" Target="../ctrlProps/ctrlProp202.xml"/><Relationship Id="rId201" Type="http://schemas.openxmlformats.org/officeDocument/2006/relationships/ctrlProp" Target="../ctrlProps/ctrlProp197.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82" Type="http://schemas.openxmlformats.org/officeDocument/2006/relationships/ctrlProp" Target="../ctrlProps/ctrlProp178.xml"/><Relationship Id="rId187" Type="http://schemas.openxmlformats.org/officeDocument/2006/relationships/ctrlProp" Target="../ctrlProps/ctrlProp183.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51" Type="http://schemas.openxmlformats.org/officeDocument/2006/relationships/ctrlProp" Target="../ctrlProps/ctrlProp147.xml"/><Relationship Id="rId156" Type="http://schemas.openxmlformats.org/officeDocument/2006/relationships/ctrlProp" Target="../ctrlProps/ctrlProp152.xml"/><Relationship Id="rId177" Type="http://schemas.openxmlformats.org/officeDocument/2006/relationships/ctrlProp" Target="../ctrlProps/ctrlProp173.xml"/><Relationship Id="rId198" Type="http://schemas.openxmlformats.org/officeDocument/2006/relationships/ctrlProp" Target="../ctrlProps/ctrlProp194.xml"/><Relationship Id="rId172" Type="http://schemas.openxmlformats.org/officeDocument/2006/relationships/ctrlProp" Target="../ctrlProps/ctrlProp168.xml"/><Relationship Id="rId193" Type="http://schemas.openxmlformats.org/officeDocument/2006/relationships/ctrlProp" Target="../ctrlProps/ctrlProp189.xml"/><Relationship Id="rId202" Type="http://schemas.openxmlformats.org/officeDocument/2006/relationships/ctrlProp" Target="../ctrlProps/ctrlProp198.xml"/><Relationship Id="rId207" Type="http://schemas.openxmlformats.org/officeDocument/2006/relationships/comments" Target="../comments1.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188" Type="http://schemas.openxmlformats.org/officeDocument/2006/relationships/ctrlProp" Target="../ctrlProps/ctrlProp184.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183" Type="http://schemas.openxmlformats.org/officeDocument/2006/relationships/ctrlProp" Target="../ctrlProps/ctrlProp179.xml"/><Relationship Id="rId2" Type="http://schemas.openxmlformats.org/officeDocument/2006/relationships/printerSettings" Target="../printerSettings/printerSettings2.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178" Type="http://schemas.openxmlformats.org/officeDocument/2006/relationships/ctrlProp" Target="../ctrlProps/ctrlProp174.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73" Type="http://schemas.openxmlformats.org/officeDocument/2006/relationships/ctrlProp" Target="../ctrlProps/ctrlProp169.xml"/><Relationship Id="rId194" Type="http://schemas.openxmlformats.org/officeDocument/2006/relationships/ctrlProp" Target="../ctrlProps/ctrlProp190.xml"/><Relationship Id="rId199" Type="http://schemas.openxmlformats.org/officeDocument/2006/relationships/ctrlProp" Target="../ctrlProps/ctrlProp195.xml"/><Relationship Id="rId203" Type="http://schemas.openxmlformats.org/officeDocument/2006/relationships/ctrlProp" Target="../ctrlProps/ctrlProp199.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184" Type="http://schemas.openxmlformats.org/officeDocument/2006/relationships/ctrlProp" Target="../ctrlProps/ctrlProp180.xml"/><Relationship Id="rId189" Type="http://schemas.openxmlformats.org/officeDocument/2006/relationships/ctrlProp" Target="../ctrlProps/ctrlProp185.xml"/><Relationship Id="rId3" Type="http://schemas.openxmlformats.org/officeDocument/2006/relationships/drawing" Target="../drawings/drawing1.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 Id="rId174" Type="http://schemas.openxmlformats.org/officeDocument/2006/relationships/ctrlProp" Target="../ctrlProps/ctrlProp170.xml"/><Relationship Id="rId179" Type="http://schemas.openxmlformats.org/officeDocument/2006/relationships/ctrlProp" Target="../ctrlProps/ctrlProp175.xml"/><Relationship Id="rId195" Type="http://schemas.openxmlformats.org/officeDocument/2006/relationships/ctrlProp" Target="../ctrlProps/ctrlProp191.xml"/><Relationship Id="rId190" Type="http://schemas.openxmlformats.org/officeDocument/2006/relationships/ctrlProp" Target="../ctrlProps/ctrlProp186.xml"/><Relationship Id="rId204" Type="http://schemas.openxmlformats.org/officeDocument/2006/relationships/ctrlProp" Target="../ctrlProps/ctrlProp200.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trlProp" Target="../ctrlProps/ctrlProp139.xml"/><Relationship Id="rId148" Type="http://schemas.openxmlformats.org/officeDocument/2006/relationships/ctrlProp" Target="../ctrlProps/ctrlProp144.xml"/><Relationship Id="rId164" Type="http://schemas.openxmlformats.org/officeDocument/2006/relationships/ctrlProp" Target="../ctrlProps/ctrlProp160.xml"/><Relationship Id="rId169" Type="http://schemas.openxmlformats.org/officeDocument/2006/relationships/ctrlProp" Target="../ctrlProps/ctrlProp165.xml"/><Relationship Id="rId185" Type="http://schemas.openxmlformats.org/officeDocument/2006/relationships/ctrlProp" Target="../ctrlProps/ctrlProp181.xml"/><Relationship Id="rId4" Type="http://schemas.openxmlformats.org/officeDocument/2006/relationships/vmlDrawing" Target="../drawings/vmlDrawing1.vml"/><Relationship Id="rId9" Type="http://schemas.openxmlformats.org/officeDocument/2006/relationships/ctrlProp" Target="../ctrlProps/ctrlProp5.xml"/><Relationship Id="rId180" Type="http://schemas.openxmlformats.org/officeDocument/2006/relationships/ctrlProp" Target="../ctrlProps/ctrlProp176.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54" Type="http://schemas.openxmlformats.org/officeDocument/2006/relationships/ctrlProp" Target="../ctrlProps/ctrlProp150.xml"/><Relationship Id="rId175" Type="http://schemas.openxmlformats.org/officeDocument/2006/relationships/ctrlProp" Target="../ctrlProps/ctrlProp171.xml"/><Relationship Id="rId196" Type="http://schemas.openxmlformats.org/officeDocument/2006/relationships/ctrlProp" Target="../ctrlProps/ctrlProp192.xml"/><Relationship Id="rId200" Type="http://schemas.openxmlformats.org/officeDocument/2006/relationships/ctrlProp" Target="../ctrlProps/ctrlProp196.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25.xml"/><Relationship Id="rId117" Type="http://schemas.openxmlformats.org/officeDocument/2006/relationships/ctrlProp" Target="../ctrlProps/ctrlProp316.xml"/><Relationship Id="rId21" Type="http://schemas.openxmlformats.org/officeDocument/2006/relationships/ctrlProp" Target="../ctrlProps/ctrlProp220.xml"/><Relationship Id="rId42" Type="http://schemas.openxmlformats.org/officeDocument/2006/relationships/ctrlProp" Target="../ctrlProps/ctrlProp241.xml"/><Relationship Id="rId47" Type="http://schemas.openxmlformats.org/officeDocument/2006/relationships/ctrlProp" Target="../ctrlProps/ctrlProp246.xml"/><Relationship Id="rId63" Type="http://schemas.openxmlformats.org/officeDocument/2006/relationships/ctrlProp" Target="../ctrlProps/ctrlProp262.xml"/><Relationship Id="rId68" Type="http://schemas.openxmlformats.org/officeDocument/2006/relationships/ctrlProp" Target="../ctrlProps/ctrlProp267.xml"/><Relationship Id="rId84" Type="http://schemas.openxmlformats.org/officeDocument/2006/relationships/ctrlProp" Target="../ctrlProps/ctrlProp283.xml"/><Relationship Id="rId89" Type="http://schemas.openxmlformats.org/officeDocument/2006/relationships/ctrlProp" Target="../ctrlProps/ctrlProp288.xml"/><Relationship Id="rId112" Type="http://schemas.openxmlformats.org/officeDocument/2006/relationships/ctrlProp" Target="../ctrlProps/ctrlProp311.xml"/><Relationship Id="rId133" Type="http://schemas.openxmlformats.org/officeDocument/2006/relationships/ctrlProp" Target="../ctrlProps/ctrlProp332.xml"/><Relationship Id="rId138" Type="http://schemas.openxmlformats.org/officeDocument/2006/relationships/ctrlProp" Target="../ctrlProps/ctrlProp337.xml"/><Relationship Id="rId154" Type="http://schemas.openxmlformats.org/officeDocument/2006/relationships/ctrlProp" Target="../ctrlProps/ctrlProp353.xml"/><Relationship Id="rId159" Type="http://schemas.openxmlformats.org/officeDocument/2006/relationships/ctrlProp" Target="../ctrlProps/ctrlProp358.xml"/><Relationship Id="rId175" Type="http://schemas.openxmlformats.org/officeDocument/2006/relationships/ctrlProp" Target="../ctrlProps/ctrlProp374.xml"/><Relationship Id="rId170" Type="http://schemas.openxmlformats.org/officeDocument/2006/relationships/ctrlProp" Target="../ctrlProps/ctrlProp369.xml"/><Relationship Id="rId16" Type="http://schemas.openxmlformats.org/officeDocument/2006/relationships/ctrlProp" Target="../ctrlProps/ctrlProp215.xml"/><Relationship Id="rId107" Type="http://schemas.openxmlformats.org/officeDocument/2006/relationships/ctrlProp" Target="../ctrlProps/ctrlProp306.xml"/><Relationship Id="rId11" Type="http://schemas.openxmlformats.org/officeDocument/2006/relationships/ctrlProp" Target="../ctrlProps/ctrlProp210.xml"/><Relationship Id="rId32" Type="http://schemas.openxmlformats.org/officeDocument/2006/relationships/ctrlProp" Target="../ctrlProps/ctrlProp231.xml"/><Relationship Id="rId37" Type="http://schemas.openxmlformats.org/officeDocument/2006/relationships/ctrlProp" Target="../ctrlProps/ctrlProp236.xml"/><Relationship Id="rId53" Type="http://schemas.openxmlformats.org/officeDocument/2006/relationships/ctrlProp" Target="../ctrlProps/ctrlProp252.xml"/><Relationship Id="rId58" Type="http://schemas.openxmlformats.org/officeDocument/2006/relationships/ctrlProp" Target="../ctrlProps/ctrlProp257.xml"/><Relationship Id="rId74" Type="http://schemas.openxmlformats.org/officeDocument/2006/relationships/ctrlProp" Target="../ctrlProps/ctrlProp273.xml"/><Relationship Id="rId79" Type="http://schemas.openxmlformats.org/officeDocument/2006/relationships/ctrlProp" Target="../ctrlProps/ctrlProp278.xml"/><Relationship Id="rId102" Type="http://schemas.openxmlformats.org/officeDocument/2006/relationships/ctrlProp" Target="../ctrlProps/ctrlProp301.xml"/><Relationship Id="rId123" Type="http://schemas.openxmlformats.org/officeDocument/2006/relationships/ctrlProp" Target="../ctrlProps/ctrlProp322.xml"/><Relationship Id="rId128" Type="http://schemas.openxmlformats.org/officeDocument/2006/relationships/ctrlProp" Target="../ctrlProps/ctrlProp327.xml"/><Relationship Id="rId144" Type="http://schemas.openxmlformats.org/officeDocument/2006/relationships/ctrlProp" Target="../ctrlProps/ctrlProp343.xml"/><Relationship Id="rId149" Type="http://schemas.openxmlformats.org/officeDocument/2006/relationships/ctrlProp" Target="../ctrlProps/ctrlProp348.xml"/><Relationship Id="rId5" Type="http://schemas.openxmlformats.org/officeDocument/2006/relationships/ctrlProp" Target="../ctrlProps/ctrlProp204.xml"/><Relationship Id="rId90" Type="http://schemas.openxmlformats.org/officeDocument/2006/relationships/ctrlProp" Target="../ctrlProps/ctrlProp289.xml"/><Relationship Id="rId95" Type="http://schemas.openxmlformats.org/officeDocument/2006/relationships/ctrlProp" Target="../ctrlProps/ctrlProp294.xml"/><Relationship Id="rId160" Type="http://schemas.openxmlformats.org/officeDocument/2006/relationships/ctrlProp" Target="../ctrlProps/ctrlProp359.xml"/><Relationship Id="rId165" Type="http://schemas.openxmlformats.org/officeDocument/2006/relationships/ctrlProp" Target="../ctrlProps/ctrlProp364.xml"/><Relationship Id="rId181" Type="http://schemas.openxmlformats.org/officeDocument/2006/relationships/ctrlProp" Target="../ctrlProps/ctrlProp380.xml"/><Relationship Id="rId186" Type="http://schemas.openxmlformats.org/officeDocument/2006/relationships/comments" Target="../comments2.xml"/><Relationship Id="rId22" Type="http://schemas.openxmlformats.org/officeDocument/2006/relationships/ctrlProp" Target="../ctrlProps/ctrlProp221.xml"/><Relationship Id="rId27" Type="http://schemas.openxmlformats.org/officeDocument/2006/relationships/ctrlProp" Target="../ctrlProps/ctrlProp226.xml"/><Relationship Id="rId43" Type="http://schemas.openxmlformats.org/officeDocument/2006/relationships/ctrlProp" Target="../ctrlProps/ctrlProp242.xml"/><Relationship Id="rId48" Type="http://schemas.openxmlformats.org/officeDocument/2006/relationships/ctrlProp" Target="../ctrlProps/ctrlProp247.xml"/><Relationship Id="rId64" Type="http://schemas.openxmlformats.org/officeDocument/2006/relationships/ctrlProp" Target="../ctrlProps/ctrlProp263.xml"/><Relationship Id="rId69" Type="http://schemas.openxmlformats.org/officeDocument/2006/relationships/ctrlProp" Target="../ctrlProps/ctrlProp268.xml"/><Relationship Id="rId113" Type="http://schemas.openxmlformats.org/officeDocument/2006/relationships/ctrlProp" Target="../ctrlProps/ctrlProp312.xml"/><Relationship Id="rId118" Type="http://schemas.openxmlformats.org/officeDocument/2006/relationships/ctrlProp" Target="../ctrlProps/ctrlProp317.xml"/><Relationship Id="rId134" Type="http://schemas.openxmlformats.org/officeDocument/2006/relationships/ctrlProp" Target="../ctrlProps/ctrlProp333.xml"/><Relationship Id="rId139" Type="http://schemas.openxmlformats.org/officeDocument/2006/relationships/ctrlProp" Target="../ctrlProps/ctrlProp338.xml"/><Relationship Id="rId80" Type="http://schemas.openxmlformats.org/officeDocument/2006/relationships/ctrlProp" Target="../ctrlProps/ctrlProp279.xml"/><Relationship Id="rId85" Type="http://schemas.openxmlformats.org/officeDocument/2006/relationships/ctrlProp" Target="../ctrlProps/ctrlProp284.xml"/><Relationship Id="rId150" Type="http://schemas.openxmlformats.org/officeDocument/2006/relationships/ctrlProp" Target="../ctrlProps/ctrlProp349.xml"/><Relationship Id="rId155" Type="http://schemas.openxmlformats.org/officeDocument/2006/relationships/ctrlProp" Target="../ctrlProps/ctrlProp354.xml"/><Relationship Id="rId171" Type="http://schemas.openxmlformats.org/officeDocument/2006/relationships/ctrlProp" Target="../ctrlProps/ctrlProp370.xml"/><Relationship Id="rId176" Type="http://schemas.openxmlformats.org/officeDocument/2006/relationships/ctrlProp" Target="../ctrlProps/ctrlProp375.xml"/><Relationship Id="rId12" Type="http://schemas.openxmlformats.org/officeDocument/2006/relationships/ctrlProp" Target="../ctrlProps/ctrlProp211.xml"/><Relationship Id="rId17" Type="http://schemas.openxmlformats.org/officeDocument/2006/relationships/ctrlProp" Target="../ctrlProps/ctrlProp216.xml"/><Relationship Id="rId33" Type="http://schemas.openxmlformats.org/officeDocument/2006/relationships/ctrlProp" Target="../ctrlProps/ctrlProp232.xml"/><Relationship Id="rId38" Type="http://schemas.openxmlformats.org/officeDocument/2006/relationships/ctrlProp" Target="../ctrlProps/ctrlProp237.xml"/><Relationship Id="rId59" Type="http://schemas.openxmlformats.org/officeDocument/2006/relationships/ctrlProp" Target="../ctrlProps/ctrlProp258.xml"/><Relationship Id="rId103" Type="http://schemas.openxmlformats.org/officeDocument/2006/relationships/ctrlProp" Target="../ctrlProps/ctrlProp302.xml"/><Relationship Id="rId108" Type="http://schemas.openxmlformats.org/officeDocument/2006/relationships/ctrlProp" Target="../ctrlProps/ctrlProp307.xml"/><Relationship Id="rId124" Type="http://schemas.openxmlformats.org/officeDocument/2006/relationships/ctrlProp" Target="../ctrlProps/ctrlProp323.xml"/><Relationship Id="rId129" Type="http://schemas.openxmlformats.org/officeDocument/2006/relationships/ctrlProp" Target="../ctrlProps/ctrlProp328.xml"/><Relationship Id="rId54" Type="http://schemas.openxmlformats.org/officeDocument/2006/relationships/ctrlProp" Target="../ctrlProps/ctrlProp253.xml"/><Relationship Id="rId70" Type="http://schemas.openxmlformats.org/officeDocument/2006/relationships/ctrlProp" Target="../ctrlProps/ctrlProp269.xml"/><Relationship Id="rId75" Type="http://schemas.openxmlformats.org/officeDocument/2006/relationships/ctrlProp" Target="../ctrlProps/ctrlProp274.xml"/><Relationship Id="rId91" Type="http://schemas.openxmlformats.org/officeDocument/2006/relationships/ctrlProp" Target="../ctrlProps/ctrlProp290.xml"/><Relationship Id="rId96" Type="http://schemas.openxmlformats.org/officeDocument/2006/relationships/ctrlProp" Target="../ctrlProps/ctrlProp295.xml"/><Relationship Id="rId140" Type="http://schemas.openxmlformats.org/officeDocument/2006/relationships/ctrlProp" Target="../ctrlProps/ctrlProp339.xml"/><Relationship Id="rId145" Type="http://schemas.openxmlformats.org/officeDocument/2006/relationships/ctrlProp" Target="../ctrlProps/ctrlProp344.xml"/><Relationship Id="rId161" Type="http://schemas.openxmlformats.org/officeDocument/2006/relationships/ctrlProp" Target="../ctrlProps/ctrlProp360.xml"/><Relationship Id="rId166" Type="http://schemas.openxmlformats.org/officeDocument/2006/relationships/ctrlProp" Target="../ctrlProps/ctrlProp365.xml"/><Relationship Id="rId182" Type="http://schemas.openxmlformats.org/officeDocument/2006/relationships/ctrlProp" Target="../ctrlProps/ctrlProp381.xml"/><Relationship Id="rId1" Type="http://schemas.openxmlformats.org/officeDocument/2006/relationships/printerSettings" Target="../printerSettings/printerSettings3.bin"/><Relationship Id="rId6" Type="http://schemas.openxmlformats.org/officeDocument/2006/relationships/ctrlProp" Target="../ctrlProps/ctrlProp205.xml"/><Relationship Id="rId23" Type="http://schemas.openxmlformats.org/officeDocument/2006/relationships/ctrlProp" Target="../ctrlProps/ctrlProp222.xml"/><Relationship Id="rId28" Type="http://schemas.openxmlformats.org/officeDocument/2006/relationships/ctrlProp" Target="../ctrlProps/ctrlProp227.xml"/><Relationship Id="rId49" Type="http://schemas.openxmlformats.org/officeDocument/2006/relationships/ctrlProp" Target="../ctrlProps/ctrlProp248.xml"/><Relationship Id="rId114" Type="http://schemas.openxmlformats.org/officeDocument/2006/relationships/ctrlProp" Target="../ctrlProps/ctrlProp313.xml"/><Relationship Id="rId119" Type="http://schemas.openxmlformats.org/officeDocument/2006/relationships/ctrlProp" Target="../ctrlProps/ctrlProp318.xml"/><Relationship Id="rId44" Type="http://schemas.openxmlformats.org/officeDocument/2006/relationships/ctrlProp" Target="../ctrlProps/ctrlProp243.xml"/><Relationship Id="rId60" Type="http://schemas.openxmlformats.org/officeDocument/2006/relationships/ctrlProp" Target="../ctrlProps/ctrlProp259.xml"/><Relationship Id="rId65" Type="http://schemas.openxmlformats.org/officeDocument/2006/relationships/ctrlProp" Target="../ctrlProps/ctrlProp264.xml"/><Relationship Id="rId81" Type="http://schemas.openxmlformats.org/officeDocument/2006/relationships/ctrlProp" Target="../ctrlProps/ctrlProp280.xml"/><Relationship Id="rId86" Type="http://schemas.openxmlformats.org/officeDocument/2006/relationships/ctrlProp" Target="../ctrlProps/ctrlProp285.xml"/><Relationship Id="rId130" Type="http://schemas.openxmlformats.org/officeDocument/2006/relationships/ctrlProp" Target="../ctrlProps/ctrlProp329.xml"/><Relationship Id="rId135" Type="http://schemas.openxmlformats.org/officeDocument/2006/relationships/ctrlProp" Target="../ctrlProps/ctrlProp334.xml"/><Relationship Id="rId151" Type="http://schemas.openxmlformats.org/officeDocument/2006/relationships/ctrlProp" Target="../ctrlProps/ctrlProp350.xml"/><Relationship Id="rId156" Type="http://schemas.openxmlformats.org/officeDocument/2006/relationships/ctrlProp" Target="../ctrlProps/ctrlProp355.xml"/><Relationship Id="rId177" Type="http://schemas.openxmlformats.org/officeDocument/2006/relationships/ctrlProp" Target="../ctrlProps/ctrlProp376.xml"/><Relationship Id="rId4" Type="http://schemas.openxmlformats.org/officeDocument/2006/relationships/ctrlProp" Target="../ctrlProps/ctrlProp203.xml"/><Relationship Id="rId9" Type="http://schemas.openxmlformats.org/officeDocument/2006/relationships/ctrlProp" Target="../ctrlProps/ctrlProp208.xml"/><Relationship Id="rId172" Type="http://schemas.openxmlformats.org/officeDocument/2006/relationships/ctrlProp" Target="../ctrlProps/ctrlProp371.xml"/><Relationship Id="rId180" Type="http://schemas.openxmlformats.org/officeDocument/2006/relationships/ctrlProp" Target="../ctrlProps/ctrlProp379.xml"/><Relationship Id="rId13" Type="http://schemas.openxmlformats.org/officeDocument/2006/relationships/ctrlProp" Target="../ctrlProps/ctrlProp212.xml"/><Relationship Id="rId18" Type="http://schemas.openxmlformats.org/officeDocument/2006/relationships/ctrlProp" Target="../ctrlProps/ctrlProp217.xml"/><Relationship Id="rId39" Type="http://schemas.openxmlformats.org/officeDocument/2006/relationships/ctrlProp" Target="../ctrlProps/ctrlProp238.xml"/><Relationship Id="rId109" Type="http://schemas.openxmlformats.org/officeDocument/2006/relationships/ctrlProp" Target="../ctrlProps/ctrlProp308.xml"/><Relationship Id="rId34" Type="http://schemas.openxmlformats.org/officeDocument/2006/relationships/ctrlProp" Target="../ctrlProps/ctrlProp233.xml"/><Relationship Id="rId50" Type="http://schemas.openxmlformats.org/officeDocument/2006/relationships/ctrlProp" Target="../ctrlProps/ctrlProp249.xml"/><Relationship Id="rId55" Type="http://schemas.openxmlformats.org/officeDocument/2006/relationships/ctrlProp" Target="../ctrlProps/ctrlProp254.xml"/><Relationship Id="rId76" Type="http://schemas.openxmlformats.org/officeDocument/2006/relationships/ctrlProp" Target="../ctrlProps/ctrlProp275.xml"/><Relationship Id="rId97" Type="http://schemas.openxmlformats.org/officeDocument/2006/relationships/ctrlProp" Target="../ctrlProps/ctrlProp296.xml"/><Relationship Id="rId104" Type="http://schemas.openxmlformats.org/officeDocument/2006/relationships/ctrlProp" Target="../ctrlProps/ctrlProp303.xml"/><Relationship Id="rId120" Type="http://schemas.openxmlformats.org/officeDocument/2006/relationships/ctrlProp" Target="../ctrlProps/ctrlProp319.xml"/><Relationship Id="rId125" Type="http://schemas.openxmlformats.org/officeDocument/2006/relationships/ctrlProp" Target="../ctrlProps/ctrlProp324.xml"/><Relationship Id="rId141" Type="http://schemas.openxmlformats.org/officeDocument/2006/relationships/ctrlProp" Target="../ctrlProps/ctrlProp340.xml"/><Relationship Id="rId146" Type="http://schemas.openxmlformats.org/officeDocument/2006/relationships/ctrlProp" Target="../ctrlProps/ctrlProp345.xml"/><Relationship Id="rId167" Type="http://schemas.openxmlformats.org/officeDocument/2006/relationships/ctrlProp" Target="../ctrlProps/ctrlProp366.xml"/><Relationship Id="rId7" Type="http://schemas.openxmlformats.org/officeDocument/2006/relationships/ctrlProp" Target="../ctrlProps/ctrlProp206.xml"/><Relationship Id="rId71" Type="http://schemas.openxmlformats.org/officeDocument/2006/relationships/ctrlProp" Target="../ctrlProps/ctrlProp270.xml"/><Relationship Id="rId92" Type="http://schemas.openxmlformats.org/officeDocument/2006/relationships/ctrlProp" Target="../ctrlProps/ctrlProp291.xml"/><Relationship Id="rId162" Type="http://schemas.openxmlformats.org/officeDocument/2006/relationships/ctrlProp" Target="../ctrlProps/ctrlProp361.xml"/><Relationship Id="rId183" Type="http://schemas.openxmlformats.org/officeDocument/2006/relationships/ctrlProp" Target="../ctrlProps/ctrlProp382.xml"/><Relationship Id="rId2" Type="http://schemas.openxmlformats.org/officeDocument/2006/relationships/drawing" Target="../drawings/drawing2.xml"/><Relationship Id="rId29" Type="http://schemas.openxmlformats.org/officeDocument/2006/relationships/ctrlProp" Target="../ctrlProps/ctrlProp228.xml"/><Relationship Id="rId24" Type="http://schemas.openxmlformats.org/officeDocument/2006/relationships/ctrlProp" Target="../ctrlProps/ctrlProp223.xml"/><Relationship Id="rId40" Type="http://schemas.openxmlformats.org/officeDocument/2006/relationships/ctrlProp" Target="../ctrlProps/ctrlProp239.xml"/><Relationship Id="rId45" Type="http://schemas.openxmlformats.org/officeDocument/2006/relationships/ctrlProp" Target="../ctrlProps/ctrlProp244.xml"/><Relationship Id="rId66" Type="http://schemas.openxmlformats.org/officeDocument/2006/relationships/ctrlProp" Target="../ctrlProps/ctrlProp265.xml"/><Relationship Id="rId87" Type="http://schemas.openxmlformats.org/officeDocument/2006/relationships/ctrlProp" Target="../ctrlProps/ctrlProp286.xml"/><Relationship Id="rId110" Type="http://schemas.openxmlformats.org/officeDocument/2006/relationships/ctrlProp" Target="../ctrlProps/ctrlProp309.xml"/><Relationship Id="rId115" Type="http://schemas.openxmlformats.org/officeDocument/2006/relationships/ctrlProp" Target="../ctrlProps/ctrlProp314.xml"/><Relationship Id="rId131" Type="http://schemas.openxmlformats.org/officeDocument/2006/relationships/ctrlProp" Target="../ctrlProps/ctrlProp330.xml"/><Relationship Id="rId136" Type="http://schemas.openxmlformats.org/officeDocument/2006/relationships/ctrlProp" Target="../ctrlProps/ctrlProp335.xml"/><Relationship Id="rId157" Type="http://schemas.openxmlformats.org/officeDocument/2006/relationships/ctrlProp" Target="../ctrlProps/ctrlProp356.xml"/><Relationship Id="rId178" Type="http://schemas.openxmlformats.org/officeDocument/2006/relationships/ctrlProp" Target="../ctrlProps/ctrlProp377.xml"/><Relationship Id="rId61" Type="http://schemas.openxmlformats.org/officeDocument/2006/relationships/ctrlProp" Target="../ctrlProps/ctrlProp260.xml"/><Relationship Id="rId82" Type="http://schemas.openxmlformats.org/officeDocument/2006/relationships/ctrlProp" Target="../ctrlProps/ctrlProp281.xml"/><Relationship Id="rId152" Type="http://schemas.openxmlformats.org/officeDocument/2006/relationships/ctrlProp" Target="../ctrlProps/ctrlProp351.xml"/><Relationship Id="rId173" Type="http://schemas.openxmlformats.org/officeDocument/2006/relationships/ctrlProp" Target="../ctrlProps/ctrlProp372.xml"/><Relationship Id="rId19" Type="http://schemas.openxmlformats.org/officeDocument/2006/relationships/ctrlProp" Target="../ctrlProps/ctrlProp218.xml"/><Relationship Id="rId14" Type="http://schemas.openxmlformats.org/officeDocument/2006/relationships/ctrlProp" Target="../ctrlProps/ctrlProp213.xml"/><Relationship Id="rId30" Type="http://schemas.openxmlformats.org/officeDocument/2006/relationships/ctrlProp" Target="../ctrlProps/ctrlProp229.xml"/><Relationship Id="rId35" Type="http://schemas.openxmlformats.org/officeDocument/2006/relationships/ctrlProp" Target="../ctrlProps/ctrlProp234.xml"/><Relationship Id="rId56" Type="http://schemas.openxmlformats.org/officeDocument/2006/relationships/ctrlProp" Target="../ctrlProps/ctrlProp255.xml"/><Relationship Id="rId77" Type="http://schemas.openxmlformats.org/officeDocument/2006/relationships/ctrlProp" Target="../ctrlProps/ctrlProp276.xml"/><Relationship Id="rId100" Type="http://schemas.openxmlformats.org/officeDocument/2006/relationships/ctrlProp" Target="../ctrlProps/ctrlProp299.xml"/><Relationship Id="rId105" Type="http://schemas.openxmlformats.org/officeDocument/2006/relationships/ctrlProp" Target="../ctrlProps/ctrlProp304.xml"/><Relationship Id="rId126" Type="http://schemas.openxmlformats.org/officeDocument/2006/relationships/ctrlProp" Target="../ctrlProps/ctrlProp325.xml"/><Relationship Id="rId147" Type="http://schemas.openxmlformats.org/officeDocument/2006/relationships/ctrlProp" Target="../ctrlProps/ctrlProp346.xml"/><Relationship Id="rId168" Type="http://schemas.openxmlformats.org/officeDocument/2006/relationships/ctrlProp" Target="../ctrlProps/ctrlProp367.xml"/><Relationship Id="rId8" Type="http://schemas.openxmlformats.org/officeDocument/2006/relationships/ctrlProp" Target="../ctrlProps/ctrlProp207.xml"/><Relationship Id="rId51" Type="http://schemas.openxmlformats.org/officeDocument/2006/relationships/ctrlProp" Target="../ctrlProps/ctrlProp250.xml"/><Relationship Id="rId72" Type="http://schemas.openxmlformats.org/officeDocument/2006/relationships/ctrlProp" Target="../ctrlProps/ctrlProp271.xml"/><Relationship Id="rId93" Type="http://schemas.openxmlformats.org/officeDocument/2006/relationships/ctrlProp" Target="../ctrlProps/ctrlProp292.xml"/><Relationship Id="rId98" Type="http://schemas.openxmlformats.org/officeDocument/2006/relationships/ctrlProp" Target="../ctrlProps/ctrlProp297.xml"/><Relationship Id="rId121" Type="http://schemas.openxmlformats.org/officeDocument/2006/relationships/ctrlProp" Target="../ctrlProps/ctrlProp320.xml"/><Relationship Id="rId142" Type="http://schemas.openxmlformats.org/officeDocument/2006/relationships/ctrlProp" Target="../ctrlProps/ctrlProp341.xml"/><Relationship Id="rId163" Type="http://schemas.openxmlformats.org/officeDocument/2006/relationships/ctrlProp" Target="../ctrlProps/ctrlProp362.xml"/><Relationship Id="rId184" Type="http://schemas.openxmlformats.org/officeDocument/2006/relationships/ctrlProp" Target="../ctrlProps/ctrlProp383.xml"/><Relationship Id="rId3" Type="http://schemas.openxmlformats.org/officeDocument/2006/relationships/vmlDrawing" Target="../drawings/vmlDrawing2.vml"/><Relationship Id="rId25" Type="http://schemas.openxmlformats.org/officeDocument/2006/relationships/ctrlProp" Target="../ctrlProps/ctrlProp224.xml"/><Relationship Id="rId46" Type="http://schemas.openxmlformats.org/officeDocument/2006/relationships/ctrlProp" Target="../ctrlProps/ctrlProp245.xml"/><Relationship Id="rId67" Type="http://schemas.openxmlformats.org/officeDocument/2006/relationships/ctrlProp" Target="../ctrlProps/ctrlProp266.xml"/><Relationship Id="rId116" Type="http://schemas.openxmlformats.org/officeDocument/2006/relationships/ctrlProp" Target="../ctrlProps/ctrlProp315.xml"/><Relationship Id="rId137" Type="http://schemas.openxmlformats.org/officeDocument/2006/relationships/ctrlProp" Target="../ctrlProps/ctrlProp336.xml"/><Relationship Id="rId158" Type="http://schemas.openxmlformats.org/officeDocument/2006/relationships/ctrlProp" Target="../ctrlProps/ctrlProp357.xml"/><Relationship Id="rId20" Type="http://schemas.openxmlformats.org/officeDocument/2006/relationships/ctrlProp" Target="../ctrlProps/ctrlProp219.xml"/><Relationship Id="rId41" Type="http://schemas.openxmlformats.org/officeDocument/2006/relationships/ctrlProp" Target="../ctrlProps/ctrlProp240.xml"/><Relationship Id="rId62" Type="http://schemas.openxmlformats.org/officeDocument/2006/relationships/ctrlProp" Target="../ctrlProps/ctrlProp261.xml"/><Relationship Id="rId83" Type="http://schemas.openxmlformats.org/officeDocument/2006/relationships/ctrlProp" Target="../ctrlProps/ctrlProp282.xml"/><Relationship Id="rId88" Type="http://schemas.openxmlformats.org/officeDocument/2006/relationships/ctrlProp" Target="../ctrlProps/ctrlProp287.xml"/><Relationship Id="rId111" Type="http://schemas.openxmlformats.org/officeDocument/2006/relationships/ctrlProp" Target="../ctrlProps/ctrlProp310.xml"/><Relationship Id="rId132" Type="http://schemas.openxmlformats.org/officeDocument/2006/relationships/ctrlProp" Target="../ctrlProps/ctrlProp331.xml"/><Relationship Id="rId153" Type="http://schemas.openxmlformats.org/officeDocument/2006/relationships/ctrlProp" Target="../ctrlProps/ctrlProp352.xml"/><Relationship Id="rId174" Type="http://schemas.openxmlformats.org/officeDocument/2006/relationships/ctrlProp" Target="../ctrlProps/ctrlProp373.xml"/><Relationship Id="rId179" Type="http://schemas.openxmlformats.org/officeDocument/2006/relationships/ctrlProp" Target="../ctrlProps/ctrlProp378.xml"/><Relationship Id="rId15" Type="http://schemas.openxmlformats.org/officeDocument/2006/relationships/ctrlProp" Target="../ctrlProps/ctrlProp214.xml"/><Relationship Id="rId36" Type="http://schemas.openxmlformats.org/officeDocument/2006/relationships/ctrlProp" Target="../ctrlProps/ctrlProp235.xml"/><Relationship Id="rId57" Type="http://schemas.openxmlformats.org/officeDocument/2006/relationships/ctrlProp" Target="../ctrlProps/ctrlProp256.xml"/><Relationship Id="rId106" Type="http://schemas.openxmlformats.org/officeDocument/2006/relationships/ctrlProp" Target="../ctrlProps/ctrlProp305.xml"/><Relationship Id="rId127" Type="http://schemas.openxmlformats.org/officeDocument/2006/relationships/ctrlProp" Target="../ctrlProps/ctrlProp326.xml"/><Relationship Id="rId10" Type="http://schemas.openxmlformats.org/officeDocument/2006/relationships/ctrlProp" Target="../ctrlProps/ctrlProp209.xml"/><Relationship Id="rId31" Type="http://schemas.openxmlformats.org/officeDocument/2006/relationships/ctrlProp" Target="../ctrlProps/ctrlProp230.xml"/><Relationship Id="rId52" Type="http://schemas.openxmlformats.org/officeDocument/2006/relationships/ctrlProp" Target="../ctrlProps/ctrlProp251.xml"/><Relationship Id="rId73" Type="http://schemas.openxmlformats.org/officeDocument/2006/relationships/ctrlProp" Target="../ctrlProps/ctrlProp272.xml"/><Relationship Id="rId78" Type="http://schemas.openxmlformats.org/officeDocument/2006/relationships/ctrlProp" Target="../ctrlProps/ctrlProp277.xml"/><Relationship Id="rId94" Type="http://schemas.openxmlformats.org/officeDocument/2006/relationships/ctrlProp" Target="../ctrlProps/ctrlProp293.xml"/><Relationship Id="rId99" Type="http://schemas.openxmlformats.org/officeDocument/2006/relationships/ctrlProp" Target="../ctrlProps/ctrlProp298.xml"/><Relationship Id="rId101" Type="http://schemas.openxmlformats.org/officeDocument/2006/relationships/ctrlProp" Target="../ctrlProps/ctrlProp300.xml"/><Relationship Id="rId122" Type="http://schemas.openxmlformats.org/officeDocument/2006/relationships/ctrlProp" Target="../ctrlProps/ctrlProp321.xml"/><Relationship Id="rId143" Type="http://schemas.openxmlformats.org/officeDocument/2006/relationships/ctrlProp" Target="../ctrlProps/ctrlProp342.xml"/><Relationship Id="rId148" Type="http://schemas.openxmlformats.org/officeDocument/2006/relationships/ctrlProp" Target="../ctrlProps/ctrlProp347.xml"/><Relationship Id="rId164" Type="http://schemas.openxmlformats.org/officeDocument/2006/relationships/ctrlProp" Target="../ctrlProps/ctrlProp363.xml"/><Relationship Id="rId169" Type="http://schemas.openxmlformats.org/officeDocument/2006/relationships/ctrlProp" Target="../ctrlProps/ctrlProp368.xml"/><Relationship Id="rId185" Type="http://schemas.openxmlformats.org/officeDocument/2006/relationships/ctrlProp" Target="../ctrlProps/ctrlProp384.xml"/></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18" Type="http://schemas.openxmlformats.org/officeDocument/2006/relationships/oleObject" Target="../embeddings/oleObject8.bin"/><Relationship Id="rId26" Type="http://schemas.openxmlformats.org/officeDocument/2006/relationships/oleObject" Target="../embeddings/oleObject12.bin"/><Relationship Id="rId39" Type="http://schemas.openxmlformats.org/officeDocument/2006/relationships/image" Target="../media/image19.wmf"/><Relationship Id="rId3" Type="http://schemas.openxmlformats.org/officeDocument/2006/relationships/vmlDrawing" Target="../drawings/vmlDrawing3.vml"/><Relationship Id="rId21" Type="http://schemas.openxmlformats.org/officeDocument/2006/relationships/image" Target="../media/image10.emf"/><Relationship Id="rId34" Type="http://schemas.openxmlformats.org/officeDocument/2006/relationships/oleObject" Target="../embeddings/oleObject16.bin"/><Relationship Id="rId7" Type="http://schemas.openxmlformats.org/officeDocument/2006/relationships/image" Target="../media/image3.emf"/><Relationship Id="rId12" Type="http://schemas.openxmlformats.org/officeDocument/2006/relationships/oleObject" Target="../embeddings/oleObject5.bin"/><Relationship Id="rId17" Type="http://schemas.openxmlformats.org/officeDocument/2006/relationships/image" Target="../media/image8.emf"/><Relationship Id="rId25" Type="http://schemas.openxmlformats.org/officeDocument/2006/relationships/image" Target="../media/image12.emf"/><Relationship Id="rId33" Type="http://schemas.openxmlformats.org/officeDocument/2006/relationships/image" Target="../media/image16.emf"/><Relationship Id="rId38" Type="http://schemas.openxmlformats.org/officeDocument/2006/relationships/oleObject" Target="../embeddings/oleObject18.bin"/><Relationship Id="rId2" Type="http://schemas.openxmlformats.org/officeDocument/2006/relationships/drawing" Target="../drawings/drawing3.xml"/><Relationship Id="rId16" Type="http://schemas.openxmlformats.org/officeDocument/2006/relationships/oleObject" Target="../embeddings/oleObject7.bin"/><Relationship Id="rId20" Type="http://schemas.openxmlformats.org/officeDocument/2006/relationships/oleObject" Target="../embeddings/oleObject9.bin"/><Relationship Id="rId29" Type="http://schemas.openxmlformats.org/officeDocument/2006/relationships/image" Target="../media/image14.emf"/><Relationship Id="rId1" Type="http://schemas.openxmlformats.org/officeDocument/2006/relationships/printerSettings" Target="../printerSettings/printerSettings4.bin"/><Relationship Id="rId6" Type="http://schemas.openxmlformats.org/officeDocument/2006/relationships/oleObject" Target="../embeddings/oleObject2.bin"/><Relationship Id="rId11" Type="http://schemas.openxmlformats.org/officeDocument/2006/relationships/image" Target="../media/image5.emf"/><Relationship Id="rId24" Type="http://schemas.openxmlformats.org/officeDocument/2006/relationships/oleObject" Target="../embeddings/oleObject11.bin"/><Relationship Id="rId32" Type="http://schemas.openxmlformats.org/officeDocument/2006/relationships/oleObject" Target="../embeddings/oleObject15.bin"/><Relationship Id="rId37" Type="http://schemas.openxmlformats.org/officeDocument/2006/relationships/image" Target="../media/image18.wmf"/><Relationship Id="rId5" Type="http://schemas.openxmlformats.org/officeDocument/2006/relationships/image" Target="../media/image2.emf"/><Relationship Id="rId15" Type="http://schemas.openxmlformats.org/officeDocument/2006/relationships/image" Target="../media/image7.emf"/><Relationship Id="rId23" Type="http://schemas.openxmlformats.org/officeDocument/2006/relationships/image" Target="../media/image11.emf"/><Relationship Id="rId28" Type="http://schemas.openxmlformats.org/officeDocument/2006/relationships/oleObject" Target="../embeddings/oleObject13.bin"/><Relationship Id="rId36" Type="http://schemas.openxmlformats.org/officeDocument/2006/relationships/oleObject" Target="../embeddings/oleObject17.bin"/><Relationship Id="rId10" Type="http://schemas.openxmlformats.org/officeDocument/2006/relationships/oleObject" Target="../embeddings/oleObject4.bin"/><Relationship Id="rId19" Type="http://schemas.openxmlformats.org/officeDocument/2006/relationships/image" Target="../media/image9.emf"/><Relationship Id="rId31" Type="http://schemas.openxmlformats.org/officeDocument/2006/relationships/image" Target="../media/image15.emf"/><Relationship Id="rId4" Type="http://schemas.openxmlformats.org/officeDocument/2006/relationships/oleObject" Target="../embeddings/oleObject1.bin"/><Relationship Id="rId9" Type="http://schemas.openxmlformats.org/officeDocument/2006/relationships/image" Target="../media/image4.emf"/><Relationship Id="rId14" Type="http://schemas.openxmlformats.org/officeDocument/2006/relationships/oleObject" Target="../embeddings/oleObject6.bin"/><Relationship Id="rId22" Type="http://schemas.openxmlformats.org/officeDocument/2006/relationships/oleObject" Target="../embeddings/oleObject10.bin"/><Relationship Id="rId27" Type="http://schemas.openxmlformats.org/officeDocument/2006/relationships/image" Target="../media/image13.emf"/><Relationship Id="rId30" Type="http://schemas.openxmlformats.org/officeDocument/2006/relationships/oleObject" Target="../embeddings/oleObject14.bin"/><Relationship Id="rId35" Type="http://schemas.openxmlformats.org/officeDocument/2006/relationships/image" Target="../media/image17.wmf"/></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U84"/>
  <sheetViews>
    <sheetView showGridLines="0" showZeros="0" zoomScale="90" zoomScaleNormal="90" zoomScalePageLayoutView="40" workbookViewId="0">
      <selection activeCell="E15" sqref="E15"/>
    </sheetView>
  </sheetViews>
  <sheetFormatPr defaultColWidth="7.109375" defaultRowHeight="12.75" x14ac:dyDescent="0.2"/>
  <cols>
    <col min="1" max="1" width="4.44140625" style="2" customWidth="1"/>
    <col min="2" max="2" width="7" style="1" customWidth="1"/>
    <col min="3" max="3" width="19.109375" style="1" customWidth="1"/>
    <col min="4" max="4" width="5.44140625" style="1" customWidth="1"/>
    <col min="5" max="5" width="6.33203125" style="1" customWidth="1"/>
    <col min="6" max="7" width="5.33203125" style="1" customWidth="1"/>
    <col min="8" max="8" width="6.33203125" style="1" customWidth="1"/>
    <col min="9" max="18" width="7.77734375" style="1" customWidth="1"/>
    <col min="19" max="19" width="8.77734375" style="1" customWidth="1"/>
    <col min="20" max="24" width="7.77734375" style="1" customWidth="1"/>
    <col min="25" max="25" width="7.77734375" style="2" customWidth="1"/>
    <col min="26" max="28" width="7.77734375" style="1" customWidth="1"/>
    <col min="29" max="29" width="7.109375" style="87" customWidth="1"/>
    <col min="30" max="30" width="7.109375" style="1" customWidth="1"/>
    <col min="31" max="31" width="6.33203125" style="1" customWidth="1"/>
    <col min="32" max="32" width="7.109375" style="1"/>
    <col min="33" max="33" width="10.77734375" style="1" customWidth="1"/>
    <col min="34" max="16384" width="7.109375" style="1"/>
  </cols>
  <sheetData>
    <row r="1" spans="1:35" s="33" customFormat="1" ht="20.100000000000001" customHeight="1" thickBot="1" x14ac:dyDescent="0.25">
      <c r="B1" s="135" t="s">
        <v>156</v>
      </c>
      <c r="C1" s="677" t="s">
        <v>504</v>
      </c>
      <c r="F1" s="135" t="s">
        <v>9</v>
      </c>
      <c r="G1" s="1243" t="s">
        <v>856</v>
      </c>
      <c r="H1" s="1244"/>
      <c r="I1" s="1244"/>
      <c r="J1" s="1245"/>
      <c r="L1" s="136" t="s">
        <v>78</v>
      </c>
      <c r="M1" s="1253" t="s">
        <v>859</v>
      </c>
      <c r="N1" s="1254"/>
      <c r="O1" s="1255"/>
      <c r="R1" s="136" t="s">
        <v>158</v>
      </c>
      <c r="S1" s="1297" t="s">
        <v>875</v>
      </c>
      <c r="T1" s="1298"/>
      <c r="U1" s="1298"/>
      <c r="V1" s="1298"/>
      <c r="W1" s="1298"/>
      <c r="X1" s="1299"/>
      <c r="Y1" s="1303" t="str">
        <f ca="1">IF(TODAY()&lt;40589,"This form is not valid until 15th Feb",UPPER(C1 &amp; " - " &amp; Form_Type))</f>
        <v>CUBA - OD</v>
      </c>
      <c r="Z1" s="1304"/>
      <c r="AA1" s="1304"/>
      <c r="AB1" s="1305"/>
    </row>
    <row r="2" spans="1:35" ht="6.75" customHeight="1" thickBot="1" x14ac:dyDescent="0.25">
      <c r="A2" s="86"/>
      <c r="C2" s="134"/>
      <c r="E2" s="86"/>
      <c r="F2" s="87"/>
      <c r="G2" s="87"/>
      <c r="H2" s="87"/>
      <c r="I2" s="87"/>
      <c r="J2" s="87"/>
      <c r="L2" s="137"/>
      <c r="M2" s="383"/>
      <c r="N2" s="383"/>
      <c r="O2" s="383"/>
      <c r="P2" s="91"/>
      <c r="Q2" s="91"/>
      <c r="R2" s="91"/>
      <c r="S2" s="91"/>
      <c r="T2" s="91"/>
      <c r="U2" s="91"/>
      <c r="V2" s="91"/>
      <c r="W2" s="91"/>
      <c r="X2" s="92"/>
      <c r="Y2" s="1306"/>
      <c r="Z2" s="1307"/>
      <c r="AA2" s="1307"/>
      <c r="AB2" s="1308"/>
      <c r="AC2" s="1"/>
    </row>
    <row r="3" spans="1:35" ht="18.75" customHeight="1" thickBot="1" x14ac:dyDescent="0.25">
      <c r="B3" s="135" t="s">
        <v>157</v>
      </c>
      <c r="C3" s="170" t="s">
        <v>162</v>
      </c>
      <c r="F3" s="135" t="s">
        <v>159</v>
      </c>
      <c r="G3" s="1243" t="s">
        <v>857</v>
      </c>
      <c r="H3" s="1244"/>
      <c r="I3" s="1244"/>
      <c r="J3" s="1245"/>
      <c r="L3" s="138" t="s">
        <v>51</v>
      </c>
      <c r="M3" s="1291" t="s">
        <v>860</v>
      </c>
      <c r="N3" s="1292"/>
      <c r="O3" s="1293"/>
      <c r="P3" s="87"/>
      <c r="Q3" s="87"/>
      <c r="R3" s="136" t="s">
        <v>160</v>
      </c>
      <c r="S3" s="1300">
        <v>42020</v>
      </c>
      <c r="T3" s="1298"/>
      <c r="U3" s="1298"/>
      <c r="V3" s="1298"/>
      <c r="W3" s="1298"/>
      <c r="X3" s="1299"/>
      <c r="Y3" s="1309"/>
      <c r="Z3" s="1310"/>
      <c r="AA3" s="1310"/>
      <c r="AB3" s="1311"/>
      <c r="AC3" s="1"/>
    </row>
    <row r="4" spans="1:35" ht="5.25" customHeight="1" thickBot="1" x14ac:dyDescent="0.25">
      <c r="A4" s="88"/>
      <c r="B4" s="89"/>
      <c r="C4" s="89"/>
      <c r="D4" s="89"/>
      <c r="E4" s="90"/>
      <c r="F4" s="94"/>
      <c r="G4" s="95"/>
      <c r="H4" s="96"/>
      <c r="I4" s="96"/>
      <c r="J4" s="96"/>
      <c r="K4" s="97"/>
      <c r="L4" s="97"/>
      <c r="M4" s="98"/>
      <c r="N4" s="98"/>
      <c r="O4" s="98"/>
      <c r="P4" s="98"/>
      <c r="Q4" s="98"/>
      <c r="R4" s="98"/>
      <c r="S4" s="99"/>
      <c r="T4" s="99"/>
      <c r="U4" s="99"/>
      <c r="V4" s="99"/>
      <c r="W4" s="99"/>
      <c r="X4" s="92"/>
      <c r="Y4" s="93"/>
      <c r="Z4" s="91"/>
      <c r="AA4" s="91"/>
      <c r="AB4" s="91"/>
      <c r="AC4" s="1"/>
    </row>
    <row r="5" spans="1:35" ht="15.95" customHeight="1" thickBot="1" x14ac:dyDescent="0.3">
      <c r="A5" s="1224" t="s">
        <v>161</v>
      </c>
      <c r="B5" s="1225"/>
      <c r="C5" s="535" t="str">
        <f>IF(ISNA(Total_Value),"Order not fully priced","")</f>
        <v/>
      </c>
      <c r="D5" s="100"/>
      <c r="E5" s="100"/>
      <c r="F5" s="187"/>
      <c r="G5" s="186" t="s">
        <v>10</v>
      </c>
      <c r="H5" s="1226">
        <f>Discount</f>
        <v>0.375</v>
      </c>
      <c r="I5" s="1225"/>
      <c r="J5" s="83"/>
      <c r="K5" s="100"/>
      <c r="L5" s="138" t="s">
        <v>431</v>
      </c>
      <c r="M5" s="100"/>
      <c r="N5" s="100"/>
      <c r="O5" s="1157" t="str">
        <f>"By " &amp; DeliveryChoice</f>
        <v>By Sea</v>
      </c>
      <c r="P5" s="100"/>
      <c r="Q5" s="100"/>
      <c r="R5" s="100"/>
      <c r="S5" s="101"/>
      <c r="T5" s="101"/>
      <c r="U5" s="101"/>
      <c r="V5" s="101"/>
      <c r="W5" s="101"/>
      <c r="X5" s="96"/>
      <c r="Z5" s="133" t="s">
        <v>188</v>
      </c>
      <c r="AA5" s="534" t="s">
        <v>851</v>
      </c>
      <c r="AB5" s="438">
        <v>41782</v>
      </c>
      <c r="AC5" s="1"/>
    </row>
    <row r="6" spans="1:35" ht="33" customHeight="1" thickBot="1" x14ac:dyDescent="0.25">
      <c r="A6" s="178" t="s">
        <v>7</v>
      </c>
      <c r="B6" s="179" t="s">
        <v>0</v>
      </c>
      <c r="C6" s="180" t="s">
        <v>63</v>
      </c>
      <c r="D6" s="181" t="s">
        <v>8</v>
      </c>
      <c r="E6" s="182" t="str">
        <f>IF(prefix="ss_",IF(RIGHT(C1,1)="x","Type",""),"Config")</f>
        <v>Config</v>
      </c>
      <c r="F6" s="183" t="s">
        <v>29</v>
      </c>
      <c r="G6" s="183" t="s">
        <v>30</v>
      </c>
      <c r="H6" s="183" t="s">
        <v>607</v>
      </c>
      <c r="I6" s="182" t="str">
        <f>IF(prefix="ss_","N/A","Mid 1")</f>
        <v>Mid 1</v>
      </c>
      <c r="J6" s="182" t="str">
        <f>IF(prefix="ss_","N/A","Mid 2")</f>
        <v>Mid 2</v>
      </c>
      <c r="K6" s="182" t="s">
        <v>608</v>
      </c>
      <c r="L6" s="182" t="s">
        <v>609</v>
      </c>
      <c r="M6" s="1227" t="str">
        <f>IF(Form_Type="Frame","N/A","Louvre")</f>
        <v>Louvre</v>
      </c>
      <c r="N6" s="1315"/>
      <c r="O6" s="441" t="str">
        <f>IF(Form_Type="Frame","N/A","Tilt Rod")</f>
        <v>Tilt Rod</v>
      </c>
      <c r="P6" s="1141" t="str">
        <f>IF(Form_Type="Frame","N/A","Split Tilt")</f>
        <v>Split Tilt</v>
      </c>
      <c r="Q6" s="1250" t="s">
        <v>474</v>
      </c>
      <c r="R6" s="1251"/>
      <c r="S6" s="184" t="s">
        <v>610</v>
      </c>
      <c r="T6" s="711" t="str">
        <f>IF(Form_Type="OP","N/A","Sides                      T    B    L    R  ")</f>
        <v xml:space="preserve">Sides                      T    B    L    R  </v>
      </c>
      <c r="U6" s="718" t="str">
        <f>IF(Form_Type="OP","N/A","Sill Plates                       T   B   L   R  ")</f>
        <v xml:space="preserve">Sill Plates                       T   B   L   R  </v>
      </c>
      <c r="V6" s="1312" t="str">
        <f>IF(Form_Type="Frame","N/A","Stile Type")</f>
        <v>Stile Type</v>
      </c>
      <c r="W6" s="1313"/>
      <c r="X6" s="441" t="s">
        <v>25</v>
      </c>
      <c r="Y6" s="710" t="s">
        <v>324</v>
      </c>
      <c r="Z6" s="1233" t="str">
        <f>IF(Form_Type="EX","Panel Colour","Panel &amp; Frame Colour")</f>
        <v>Panel &amp; Frame Colour</v>
      </c>
      <c r="AA6" s="1234"/>
      <c r="AB6" s="1234"/>
      <c r="AC6" s="1227" t="str">
        <f>IF(Form_Type="OP","N/A",IF(Form_Type="EX","Notch Underneath","Hardware"))</f>
        <v>Hardware</v>
      </c>
      <c r="AD6" s="1228" t="str">
        <f>IF(Form_Type="OP","N/A",IF(Form_Type="EX","Notch Undern","2nd"))</f>
        <v>2nd</v>
      </c>
      <c r="AE6" s="1229" t="s">
        <v>376</v>
      </c>
      <c r="AF6" s="1228"/>
      <c r="AG6" s="1228"/>
      <c r="AH6" s="1230"/>
    </row>
    <row r="7" spans="1:35" s="33" customFormat="1" ht="15.95" customHeight="1" x14ac:dyDescent="0.2">
      <c r="A7" s="115">
        <v>1</v>
      </c>
      <c r="B7" s="116" t="s">
        <v>861</v>
      </c>
      <c r="C7" s="117" t="s">
        <v>5</v>
      </c>
      <c r="D7" s="118">
        <v>1</v>
      </c>
      <c r="E7" s="119" t="s">
        <v>24</v>
      </c>
      <c r="F7" s="119">
        <v>1623</v>
      </c>
      <c r="G7" s="119">
        <v>990</v>
      </c>
      <c r="H7" s="119"/>
      <c r="I7" s="428"/>
      <c r="J7" s="429"/>
      <c r="K7" s="433"/>
      <c r="L7" s="433"/>
      <c r="M7" s="1248" t="s">
        <v>832</v>
      </c>
      <c r="N7" s="1252"/>
      <c r="O7" s="685" t="s">
        <v>206</v>
      </c>
      <c r="P7" s="1152"/>
      <c r="Q7" s="1248" t="s">
        <v>224</v>
      </c>
      <c r="R7" s="1252"/>
      <c r="S7" s="120"/>
      <c r="T7" s="712"/>
      <c r="U7" s="719"/>
      <c r="V7" s="1314" t="s">
        <v>199</v>
      </c>
      <c r="W7" s="1252"/>
      <c r="X7" s="443">
        <f>IF(prefix="ss_",D7,IF(ISNA('Pricing and calculations'!F53),"",'Pricing and calculations'!F53))</f>
        <v>4</v>
      </c>
      <c r="Y7" s="447">
        <v>0</v>
      </c>
      <c r="Z7" s="1301" t="s">
        <v>87</v>
      </c>
      <c r="AA7" s="1302"/>
      <c r="AB7" s="1302"/>
      <c r="AC7" s="1248" t="s">
        <v>38</v>
      </c>
      <c r="AD7" s="1249"/>
      <c r="AE7" s="1294"/>
      <c r="AF7" s="1295"/>
      <c r="AG7" s="1295"/>
      <c r="AH7" s="1296"/>
      <c r="AI7" s="949" t="b">
        <v>0</v>
      </c>
    </row>
    <row r="8" spans="1:35" s="33" customFormat="1" ht="15.95" customHeight="1" x14ac:dyDescent="0.2">
      <c r="A8" s="43">
        <v>2</v>
      </c>
      <c r="B8" s="46" t="s">
        <v>862</v>
      </c>
      <c r="C8" s="37" t="s">
        <v>5</v>
      </c>
      <c r="D8" s="38">
        <v>1</v>
      </c>
      <c r="E8" s="50" t="s">
        <v>869</v>
      </c>
      <c r="F8" s="678">
        <v>2770</v>
      </c>
      <c r="G8" s="678">
        <v>1005</v>
      </c>
      <c r="H8" s="691"/>
      <c r="I8" s="430"/>
      <c r="J8" s="431"/>
      <c r="K8" s="431"/>
      <c r="L8" s="431"/>
      <c r="M8" s="1208" t="s">
        <v>832</v>
      </c>
      <c r="N8" s="1165"/>
      <c r="O8" s="733" t="s">
        <v>206</v>
      </c>
      <c r="P8" s="1148"/>
      <c r="Q8" s="1208" t="s">
        <v>224</v>
      </c>
      <c r="R8" s="1165"/>
      <c r="S8" s="177"/>
      <c r="T8" s="713"/>
      <c r="U8" s="720"/>
      <c r="V8" s="1164" t="s">
        <v>199</v>
      </c>
      <c r="W8" s="1165"/>
      <c r="X8" s="444">
        <f>IF(prefix="ss_",D8,IF(ISNA('Pricing and calculations'!F54),"",'Pricing and calculations'!F54))</f>
        <v>6</v>
      </c>
      <c r="Y8" s="448">
        <v>0</v>
      </c>
      <c r="Z8" s="1235" t="s">
        <v>87</v>
      </c>
      <c r="AA8" s="1236"/>
      <c r="AB8" s="1237"/>
      <c r="AC8" s="1183" t="s">
        <v>38</v>
      </c>
      <c r="AD8" s="1184"/>
      <c r="AE8" s="1231"/>
      <c r="AF8" s="1184"/>
      <c r="AG8" s="1184"/>
      <c r="AH8" s="1232"/>
      <c r="AI8" s="949"/>
    </row>
    <row r="9" spans="1:35" s="33" customFormat="1" ht="15.95" customHeight="1" x14ac:dyDescent="0.2">
      <c r="A9" s="44">
        <v>3</v>
      </c>
      <c r="B9" s="47" t="s">
        <v>863</v>
      </c>
      <c r="C9" s="31" t="s">
        <v>5</v>
      </c>
      <c r="D9" s="49">
        <v>1</v>
      </c>
      <c r="E9" s="51" t="s">
        <v>24</v>
      </c>
      <c r="F9" s="679">
        <v>1675</v>
      </c>
      <c r="G9" s="679">
        <v>1018</v>
      </c>
      <c r="H9" s="692"/>
      <c r="I9" s="427"/>
      <c r="J9" s="432"/>
      <c r="K9" s="432"/>
      <c r="L9" s="432"/>
      <c r="M9" s="1210" t="s">
        <v>832</v>
      </c>
      <c r="N9" s="1161"/>
      <c r="O9" s="686" t="s">
        <v>206</v>
      </c>
      <c r="P9" s="1150"/>
      <c r="Q9" s="1210" t="s">
        <v>223</v>
      </c>
      <c r="R9" s="1161"/>
      <c r="S9" s="694"/>
      <c r="T9" s="714"/>
      <c r="U9" s="721"/>
      <c r="V9" s="1160" t="s">
        <v>199</v>
      </c>
      <c r="W9" s="1161"/>
      <c r="X9" s="445">
        <f>IF(prefix="ss_",D9,IF(ISNA('Pricing and calculations'!F55),"",'Pricing and calculations'!F55))</f>
        <v>4</v>
      </c>
      <c r="Y9" s="449">
        <v>0</v>
      </c>
      <c r="Z9" s="1195" t="s">
        <v>87</v>
      </c>
      <c r="AA9" s="1196"/>
      <c r="AB9" s="1197"/>
      <c r="AC9" s="1187" t="s">
        <v>38</v>
      </c>
      <c r="AD9" s="1184"/>
      <c r="AE9" s="1290"/>
      <c r="AF9" s="1184"/>
      <c r="AG9" s="1184"/>
      <c r="AH9" s="1232"/>
      <c r="AI9" s="949"/>
    </row>
    <row r="10" spans="1:35" s="33" customFormat="1" ht="15.95" customHeight="1" x14ac:dyDescent="0.2">
      <c r="A10" s="43">
        <v>4</v>
      </c>
      <c r="B10" s="46" t="s">
        <v>864</v>
      </c>
      <c r="C10" s="37" t="s">
        <v>5</v>
      </c>
      <c r="D10" s="38">
        <v>1</v>
      </c>
      <c r="E10" s="50" t="s">
        <v>17</v>
      </c>
      <c r="F10" s="678">
        <v>400</v>
      </c>
      <c r="G10" s="678">
        <v>1130</v>
      </c>
      <c r="H10" s="691"/>
      <c r="I10" s="430"/>
      <c r="J10" s="431"/>
      <c r="K10" s="431"/>
      <c r="L10" s="431"/>
      <c r="M10" s="1208" t="s">
        <v>832</v>
      </c>
      <c r="N10" s="1165"/>
      <c r="O10" s="733" t="s">
        <v>206</v>
      </c>
      <c r="P10" s="1148"/>
      <c r="Q10" s="1208" t="s">
        <v>223</v>
      </c>
      <c r="R10" s="1165"/>
      <c r="S10" s="177"/>
      <c r="T10" s="713"/>
      <c r="U10" s="720"/>
      <c r="V10" s="1164" t="s">
        <v>195</v>
      </c>
      <c r="W10" s="1165"/>
      <c r="X10" s="444">
        <f>IF(prefix="ss_",D10,IF(ISNA('Pricing and calculations'!F56),"",'Pricing and calculations'!F56))</f>
        <v>1</v>
      </c>
      <c r="Y10" s="448">
        <v>0</v>
      </c>
      <c r="Z10" s="1235" t="s">
        <v>87</v>
      </c>
      <c r="AA10" s="1236"/>
      <c r="AB10" s="1237"/>
      <c r="AC10" s="1183" t="s">
        <v>38</v>
      </c>
      <c r="AD10" s="1184"/>
      <c r="AE10" s="1231"/>
      <c r="AF10" s="1184"/>
      <c r="AG10" s="1184"/>
      <c r="AH10" s="1232"/>
      <c r="AI10" s="949"/>
    </row>
    <row r="11" spans="1:35" s="33" customFormat="1" ht="15.95" customHeight="1" x14ac:dyDescent="0.2">
      <c r="A11" s="216">
        <v>5</v>
      </c>
      <c r="B11" s="217" t="s">
        <v>864</v>
      </c>
      <c r="C11" s="218" t="s">
        <v>5</v>
      </c>
      <c r="D11" s="219">
        <v>1</v>
      </c>
      <c r="E11" s="121" t="s">
        <v>18</v>
      </c>
      <c r="F11" s="121">
        <v>400</v>
      </c>
      <c r="G11" s="121">
        <v>1130</v>
      </c>
      <c r="H11" s="736"/>
      <c r="I11" s="428"/>
      <c r="J11" s="433"/>
      <c r="K11" s="433"/>
      <c r="L11" s="433"/>
      <c r="M11" s="1209" t="s">
        <v>832</v>
      </c>
      <c r="N11" s="1167"/>
      <c r="O11" s="734" t="s">
        <v>206</v>
      </c>
      <c r="P11" s="1149"/>
      <c r="Q11" s="1209" t="s">
        <v>223</v>
      </c>
      <c r="R11" s="1167"/>
      <c r="S11" s="120"/>
      <c r="T11" s="715"/>
      <c r="U11" s="722"/>
      <c r="V11" s="1166" t="s">
        <v>195</v>
      </c>
      <c r="W11" s="1167"/>
      <c r="X11" s="443">
        <f>IF(prefix="ss_",D11,IF(ISNA('Pricing and calculations'!F57),"",'Pricing and calculations'!F57))</f>
        <v>1</v>
      </c>
      <c r="Y11" s="450">
        <v>0</v>
      </c>
      <c r="Z11" s="1238" t="s">
        <v>87</v>
      </c>
      <c r="AA11" s="1239"/>
      <c r="AB11" s="1240"/>
      <c r="AC11" s="1209" t="s">
        <v>38</v>
      </c>
      <c r="AD11" s="1166"/>
      <c r="AE11" s="1241"/>
      <c r="AF11" s="1166"/>
      <c r="AG11" s="1166"/>
      <c r="AH11" s="1242"/>
      <c r="AI11" s="949"/>
    </row>
    <row r="12" spans="1:35" s="33" customFormat="1" ht="15.95" customHeight="1" x14ac:dyDescent="0.2">
      <c r="A12" s="43">
        <v>6</v>
      </c>
      <c r="B12" s="46" t="s">
        <v>865</v>
      </c>
      <c r="C12" s="37" t="s">
        <v>177</v>
      </c>
      <c r="D12" s="38">
        <v>1</v>
      </c>
      <c r="E12" s="50" t="s">
        <v>135</v>
      </c>
      <c r="F12" s="678">
        <v>1880</v>
      </c>
      <c r="G12" s="678">
        <v>2100</v>
      </c>
      <c r="H12" s="691"/>
      <c r="I12" s="430" t="s">
        <v>867</v>
      </c>
      <c r="J12" s="431"/>
      <c r="K12" s="431"/>
      <c r="L12" s="431"/>
      <c r="M12" s="1208" t="s">
        <v>832</v>
      </c>
      <c r="N12" s="1165"/>
      <c r="O12" s="733" t="s">
        <v>206</v>
      </c>
      <c r="P12" s="1148"/>
      <c r="Q12" s="1208" t="s">
        <v>528</v>
      </c>
      <c r="R12" s="1165"/>
      <c r="S12" s="177"/>
      <c r="T12" s="713"/>
      <c r="U12" s="720"/>
      <c r="V12" s="1164" t="s">
        <v>195</v>
      </c>
      <c r="W12" s="1165"/>
      <c r="X12" s="444">
        <f>IF(prefix="ss_",D12,IF(ISNA('Pricing and calculations'!F58),"",'Pricing and calculations'!F58))</f>
        <v>4</v>
      </c>
      <c r="Y12" s="448">
        <v>0</v>
      </c>
      <c r="Z12" s="1235" t="s">
        <v>87</v>
      </c>
      <c r="AA12" s="1236"/>
      <c r="AB12" s="1237"/>
      <c r="AC12" s="1183" t="s">
        <v>38</v>
      </c>
      <c r="AD12" s="1184"/>
      <c r="AE12" s="1231"/>
      <c r="AF12" s="1184"/>
      <c r="AG12" s="1184"/>
      <c r="AH12" s="1232"/>
      <c r="AI12" s="949"/>
    </row>
    <row r="13" spans="1:35" s="33" customFormat="1" ht="15.95" customHeight="1" x14ac:dyDescent="0.2">
      <c r="A13" s="44">
        <v>7</v>
      </c>
      <c r="B13" s="47" t="s">
        <v>865</v>
      </c>
      <c r="C13" s="31" t="s">
        <v>177</v>
      </c>
      <c r="D13" s="49">
        <v>1</v>
      </c>
      <c r="E13" s="51" t="s">
        <v>868</v>
      </c>
      <c r="F13" s="679">
        <v>2600</v>
      </c>
      <c r="G13" s="679">
        <v>2100</v>
      </c>
      <c r="H13" s="692"/>
      <c r="I13" s="427" t="s">
        <v>867</v>
      </c>
      <c r="J13" s="432"/>
      <c r="K13" s="432"/>
      <c r="L13" s="432"/>
      <c r="M13" s="1210" t="s">
        <v>832</v>
      </c>
      <c r="N13" s="1161"/>
      <c r="O13" s="686" t="s">
        <v>206</v>
      </c>
      <c r="P13" s="1150"/>
      <c r="Q13" s="1210" t="s">
        <v>528</v>
      </c>
      <c r="R13" s="1161"/>
      <c r="S13" s="32"/>
      <c r="T13" s="716"/>
      <c r="U13" s="723"/>
      <c r="V13" s="1160" t="s">
        <v>195</v>
      </c>
      <c r="W13" s="1161"/>
      <c r="X13" s="445">
        <f>IF(prefix="ss_",D13,IF(ISNA('Pricing and calculations'!F59),"",'Pricing and calculations'!F59))</f>
        <v>6</v>
      </c>
      <c r="Y13" s="449">
        <v>0</v>
      </c>
      <c r="Z13" s="1195" t="s">
        <v>87</v>
      </c>
      <c r="AA13" s="1196"/>
      <c r="AB13" s="1197"/>
      <c r="AC13" s="1187" t="s">
        <v>38</v>
      </c>
      <c r="AD13" s="1184"/>
      <c r="AE13" s="1290"/>
      <c r="AF13" s="1184"/>
      <c r="AG13" s="1184"/>
      <c r="AH13" s="1232"/>
      <c r="AI13" s="949"/>
    </row>
    <row r="14" spans="1:35" s="33" customFormat="1" ht="15.95" customHeight="1" x14ac:dyDescent="0.2">
      <c r="A14" s="43">
        <v>8</v>
      </c>
      <c r="B14" s="46" t="s">
        <v>866</v>
      </c>
      <c r="C14" s="37" t="s">
        <v>5</v>
      </c>
      <c r="D14" s="38">
        <v>1</v>
      </c>
      <c r="E14" s="50" t="s">
        <v>24</v>
      </c>
      <c r="F14" s="678">
        <v>2210</v>
      </c>
      <c r="G14" s="678">
        <v>1320</v>
      </c>
      <c r="H14" s="691"/>
      <c r="I14" s="430" t="s">
        <v>867</v>
      </c>
      <c r="J14" s="431"/>
      <c r="K14" s="431"/>
      <c r="L14" s="431"/>
      <c r="M14" s="1208" t="s">
        <v>832</v>
      </c>
      <c r="N14" s="1165"/>
      <c r="O14" s="733" t="s">
        <v>206</v>
      </c>
      <c r="P14" s="1148"/>
      <c r="Q14" s="1208" t="s">
        <v>220</v>
      </c>
      <c r="R14" s="1165"/>
      <c r="S14" s="177"/>
      <c r="T14" s="713"/>
      <c r="U14" s="720"/>
      <c r="V14" s="1164" t="s">
        <v>199</v>
      </c>
      <c r="W14" s="1165"/>
      <c r="X14" s="444">
        <f>IF(prefix="ss_",D14,IF(ISNA('Pricing and calculations'!F60),"",'Pricing and calculations'!F60))</f>
        <v>4</v>
      </c>
      <c r="Y14" s="448">
        <v>0</v>
      </c>
      <c r="Z14" s="1235" t="s">
        <v>87</v>
      </c>
      <c r="AA14" s="1236"/>
      <c r="AB14" s="1237"/>
      <c r="AC14" s="1183" t="s">
        <v>38</v>
      </c>
      <c r="AD14" s="1184"/>
      <c r="AE14" s="1231"/>
      <c r="AF14" s="1184"/>
      <c r="AG14" s="1184"/>
      <c r="AH14" s="1232"/>
      <c r="AI14" s="949"/>
    </row>
    <row r="15" spans="1:35" s="33" customFormat="1" ht="15.95" customHeight="1" x14ac:dyDescent="0.2">
      <c r="A15" s="216">
        <v>9</v>
      </c>
      <c r="B15" s="217" t="s">
        <v>870</v>
      </c>
      <c r="C15" s="218" t="s">
        <v>5</v>
      </c>
      <c r="D15" s="219">
        <v>1</v>
      </c>
      <c r="E15" s="121" t="s">
        <v>24</v>
      </c>
      <c r="F15" s="121">
        <v>1180</v>
      </c>
      <c r="G15" s="121">
        <v>1100</v>
      </c>
      <c r="H15" s="736"/>
      <c r="I15" s="428" t="s">
        <v>867</v>
      </c>
      <c r="J15" s="433"/>
      <c r="K15" s="433"/>
      <c r="L15" s="433"/>
      <c r="M15" s="1209" t="s">
        <v>832</v>
      </c>
      <c r="N15" s="1167"/>
      <c r="O15" s="734" t="s">
        <v>206</v>
      </c>
      <c r="P15" s="1149"/>
      <c r="Q15" s="1209" t="s">
        <v>223</v>
      </c>
      <c r="R15" s="1167"/>
      <c r="S15" s="120"/>
      <c r="T15" s="715"/>
      <c r="U15" s="722"/>
      <c r="V15" s="1166" t="s">
        <v>199</v>
      </c>
      <c r="W15" s="1167"/>
      <c r="X15" s="443">
        <f>IF(prefix="ss_",D15,IF(ISNA('Pricing and calculations'!F61),"",'Pricing and calculations'!F61))</f>
        <v>4</v>
      </c>
      <c r="Y15" s="450">
        <v>0</v>
      </c>
      <c r="Z15" s="1238" t="s">
        <v>87</v>
      </c>
      <c r="AA15" s="1239"/>
      <c r="AB15" s="1240"/>
      <c r="AC15" s="1209" t="s">
        <v>38</v>
      </c>
      <c r="AD15" s="1166"/>
      <c r="AE15" s="1241"/>
      <c r="AF15" s="1166"/>
      <c r="AG15" s="1166"/>
      <c r="AH15" s="1242"/>
      <c r="AI15" s="949"/>
    </row>
    <row r="16" spans="1:35" s="33" customFormat="1" ht="15.95" customHeight="1" x14ac:dyDescent="0.2">
      <c r="A16" s="43">
        <v>10</v>
      </c>
      <c r="B16" s="46"/>
      <c r="C16" s="37"/>
      <c r="D16" s="38"/>
      <c r="E16" s="50"/>
      <c r="F16" s="678"/>
      <c r="G16" s="678"/>
      <c r="H16" s="691"/>
      <c r="I16" s="430"/>
      <c r="J16" s="431"/>
      <c r="K16" s="431"/>
      <c r="L16" s="431"/>
      <c r="M16" s="1208"/>
      <c r="N16" s="1165"/>
      <c r="O16" s="733"/>
      <c r="P16" s="1148"/>
      <c r="Q16" s="1208"/>
      <c r="R16" s="1165"/>
      <c r="S16" s="177"/>
      <c r="T16" s="713"/>
      <c r="U16" s="720"/>
      <c r="V16" s="1164"/>
      <c r="W16" s="1165"/>
      <c r="X16" s="444">
        <f>IF(prefix="ss_",D16,IF(ISNA('Pricing and calculations'!F62),"",'Pricing and calculations'!F62))</f>
        <v>0</v>
      </c>
      <c r="Y16" s="448">
        <v>0</v>
      </c>
      <c r="Z16" s="1235"/>
      <c r="AA16" s="1236"/>
      <c r="AB16" s="1237"/>
      <c r="AC16" s="1183"/>
      <c r="AD16" s="1184"/>
      <c r="AE16" s="1231"/>
      <c r="AF16" s="1184"/>
      <c r="AG16" s="1184"/>
      <c r="AH16" s="1232"/>
      <c r="AI16" s="949"/>
    </row>
    <row r="17" spans="1:47" s="33" customFormat="1" ht="15.95" customHeight="1" x14ac:dyDescent="0.2">
      <c r="A17" s="44">
        <v>11</v>
      </c>
      <c r="B17" s="47"/>
      <c r="C17" s="31"/>
      <c r="D17" s="49"/>
      <c r="E17" s="51"/>
      <c r="F17" s="679"/>
      <c r="G17" s="679"/>
      <c r="H17" s="692"/>
      <c r="I17" s="427"/>
      <c r="J17" s="432"/>
      <c r="K17" s="432"/>
      <c r="L17" s="432"/>
      <c r="M17" s="1210"/>
      <c r="N17" s="1161"/>
      <c r="O17" s="686"/>
      <c r="P17" s="1150"/>
      <c r="Q17" s="1210"/>
      <c r="R17" s="1161"/>
      <c r="S17" s="32"/>
      <c r="T17" s="716"/>
      <c r="U17" s="723"/>
      <c r="V17" s="1160"/>
      <c r="W17" s="1161"/>
      <c r="X17" s="445">
        <f>IF(prefix="ss_",D17,IF(ISNA('Pricing and calculations'!F63),"",'Pricing and calculations'!F63))</f>
        <v>0</v>
      </c>
      <c r="Y17" s="449">
        <v>0</v>
      </c>
      <c r="Z17" s="1195"/>
      <c r="AA17" s="1196"/>
      <c r="AB17" s="1197"/>
      <c r="AC17" s="1187"/>
      <c r="AD17" s="1184"/>
      <c r="AE17" s="1290"/>
      <c r="AF17" s="1184"/>
      <c r="AG17" s="1184"/>
      <c r="AH17" s="1232"/>
      <c r="AI17" s="949"/>
    </row>
    <row r="18" spans="1:47" s="33" customFormat="1" ht="15.95" customHeight="1" x14ac:dyDescent="0.2">
      <c r="A18" s="43">
        <v>12</v>
      </c>
      <c r="B18" s="46"/>
      <c r="C18" s="37"/>
      <c r="D18" s="38"/>
      <c r="E18" s="50"/>
      <c r="F18" s="678"/>
      <c r="G18" s="678"/>
      <c r="H18" s="691"/>
      <c r="I18" s="430"/>
      <c r="J18" s="431"/>
      <c r="K18" s="431"/>
      <c r="L18" s="431"/>
      <c r="M18" s="1208"/>
      <c r="N18" s="1165"/>
      <c r="O18" s="733"/>
      <c r="P18" s="1148"/>
      <c r="Q18" s="1208"/>
      <c r="R18" s="1165"/>
      <c r="S18" s="177"/>
      <c r="T18" s="713"/>
      <c r="U18" s="720"/>
      <c r="V18" s="1164"/>
      <c r="W18" s="1165"/>
      <c r="X18" s="444">
        <f>IF(prefix="ss_",D18,IF(ISNA('Pricing and calculations'!F64),"",'Pricing and calculations'!F64))</f>
        <v>0</v>
      </c>
      <c r="Y18" s="448">
        <v>0</v>
      </c>
      <c r="Z18" s="1235"/>
      <c r="AA18" s="1236"/>
      <c r="AB18" s="1237"/>
      <c r="AC18" s="1183"/>
      <c r="AD18" s="1184"/>
      <c r="AE18" s="1231"/>
      <c r="AF18" s="1184"/>
      <c r="AG18" s="1184"/>
      <c r="AH18" s="1232"/>
      <c r="AI18" s="949"/>
    </row>
    <row r="19" spans="1:47" s="33" customFormat="1" ht="15.95" customHeight="1" x14ac:dyDescent="0.2">
      <c r="A19" s="216">
        <v>13</v>
      </c>
      <c r="B19" s="217"/>
      <c r="C19" s="218"/>
      <c r="D19" s="219"/>
      <c r="E19" s="121"/>
      <c r="F19" s="121"/>
      <c r="G19" s="121"/>
      <c r="H19" s="736"/>
      <c r="I19" s="428"/>
      <c r="J19" s="433"/>
      <c r="K19" s="433"/>
      <c r="L19" s="433"/>
      <c r="M19" s="1209"/>
      <c r="N19" s="1167"/>
      <c r="O19" s="734"/>
      <c r="P19" s="1149"/>
      <c r="Q19" s="1209"/>
      <c r="R19" s="1167"/>
      <c r="S19" s="120"/>
      <c r="T19" s="715"/>
      <c r="U19" s="722"/>
      <c r="V19" s="1166"/>
      <c r="W19" s="1167"/>
      <c r="X19" s="443">
        <f>IF(prefix="ss_",D19,IF(ISNA('Pricing and calculations'!F65),"",'Pricing and calculations'!F65))</f>
        <v>0</v>
      </c>
      <c r="Y19" s="450">
        <v>0</v>
      </c>
      <c r="Z19" s="1238"/>
      <c r="AA19" s="1239"/>
      <c r="AB19" s="1240"/>
      <c r="AC19" s="1246"/>
      <c r="AD19" s="1247"/>
      <c r="AE19" s="1241"/>
      <c r="AF19" s="1166"/>
      <c r="AG19" s="1166"/>
      <c r="AH19" s="1242"/>
      <c r="AI19" s="949"/>
    </row>
    <row r="20" spans="1:47" s="33" customFormat="1" ht="15.95" customHeight="1" x14ac:dyDescent="0.2">
      <c r="A20" s="43">
        <v>14</v>
      </c>
      <c r="B20" s="46"/>
      <c r="C20" s="37"/>
      <c r="D20" s="38"/>
      <c r="E20" s="50"/>
      <c r="F20" s="678"/>
      <c r="G20" s="678"/>
      <c r="H20" s="691"/>
      <c r="I20" s="430"/>
      <c r="J20" s="431"/>
      <c r="K20" s="431"/>
      <c r="L20" s="431"/>
      <c r="M20" s="1208"/>
      <c r="N20" s="1165"/>
      <c r="O20" s="733"/>
      <c r="P20" s="1148"/>
      <c r="Q20" s="1208"/>
      <c r="R20" s="1165"/>
      <c r="S20" s="177"/>
      <c r="T20" s="713"/>
      <c r="U20" s="720"/>
      <c r="V20" s="1164"/>
      <c r="W20" s="1165"/>
      <c r="X20" s="444">
        <f>IF(prefix="ss_",D20,IF(ISNA('Pricing and calculations'!F66),"",'Pricing and calculations'!F66))</f>
        <v>0</v>
      </c>
      <c r="Y20" s="448">
        <v>0</v>
      </c>
      <c r="Z20" s="1235"/>
      <c r="AA20" s="1236"/>
      <c r="AB20" s="1237"/>
      <c r="AC20" s="1183"/>
      <c r="AD20" s="1184"/>
      <c r="AE20" s="1231"/>
      <c r="AF20" s="1184"/>
      <c r="AG20" s="1184"/>
      <c r="AH20" s="1232"/>
      <c r="AI20" s="949"/>
    </row>
    <row r="21" spans="1:47" s="33" customFormat="1" ht="15.95" customHeight="1" x14ac:dyDescent="0.2">
      <c r="A21" s="44">
        <v>15</v>
      </c>
      <c r="B21" s="47"/>
      <c r="C21" s="31"/>
      <c r="D21" s="49"/>
      <c r="E21" s="51"/>
      <c r="F21" s="679">
        <f t="shared" ref="F21:F26" si="0">IF(ISNA(VLOOKUP(C21,ss_M_T_PriceTab,4,FALSE)),0,IF(prefix="ss_",VLOOKUP(C21,ss_M_T_PriceTab,4,FALSE),""))</f>
        <v>0</v>
      </c>
      <c r="G21" s="679">
        <f t="shared" ref="G21:G26" si="1">IF(ISNA(VLOOKUP(C21,ss_M_T_PriceTab,5,FALSE)),0,IF(prefix="ss_",VLOOKUP(C21,ss_M_T_PriceTab,5,FALSE),""))</f>
        <v>0</v>
      </c>
      <c r="H21" s="692"/>
      <c r="I21" s="427"/>
      <c r="J21" s="432"/>
      <c r="K21" s="432"/>
      <c r="L21" s="432"/>
      <c r="M21" s="1210"/>
      <c r="N21" s="1161"/>
      <c r="O21" s="686"/>
      <c r="P21" s="1150"/>
      <c r="Q21" s="1210"/>
      <c r="R21" s="1161"/>
      <c r="S21" s="32"/>
      <c r="T21" s="716"/>
      <c r="U21" s="723"/>
      <c r="V21" s="1160"/>
      <c r="W21" s="1161"/>
      <c r="X21" s="445">
        <f>IF(prefix="ss_",D21,IF(ISNA('Pricing and calculations'!F67),"",'Pricing and calculations'!F67))</f>
        <v>0</v>
      </c>
      <c r="Y21" s="449">
        <v>0</v>
      </c>
      <c r="Z21" s="1195"/>
      <c r="AA21" s="1196"/>
      <c r="AB21" s="1197"/>
      <c r="AC21" s="1187"/>
      <c r="AD21" s="1188"/>
      <c r="AE21" s="1290"/>
      <c r="AF21" s="1184"/>
      <c r="AG21" s="1184"/>
      <c r="AH21" s="1232"/>
      <c r="AI21" s="949"/>
    </row>
    <row r="22" spans="1:47" s="33" customFormat="1" ht="15.95" customHeight="1" x14ac:dyDescent="0.2">
      <c r="A22" s="43">
        <v>16</v>
      </c>
      <c r="B22" s="46"/>
      <c r="C22" s="37"/>
      <c r="D22" s="38"/>
      <c r="E22" s="50"/>
      <c r="F22" s="678">
        <f t="shared" si="0"/>
        <v>0</v>
      </c>
      <c r="G22" s="678">
        <f t="shared" si="1"/>
        <v>0</v>
      </c>
      <c r="H22" s="691"/>
      <c r="I22" s="430"/>
      <c r="J22" s="431"/>
      <c r="K22" s="431"/>
      <c r="L22" s="431"/>
      <c r="M22" s="1208"/>
      <c r="N22" s="1165"/>
      <c r="O22" s="733"/>
      <c r="P22" s="1148"/>
      <c r="Q22" s="1208"/>
      <c r="R22" s="1165"/>
      <c r="S22" s="177"/>
      <c r="T22" s="713"/>
      <c r="U22" s="720"/>
      <c r="V22" s="1164"/>
      <c r="W22" s="1165"/>
      <c r="X22" s="444">
        <f>IF(prefix="ss_",D22,IF(ISNA('Pricing and calculations'!F68),"",'Pricing and calculations'!F68))</f>
        <v>0</v>
      </c>
      <c r="Y22" s="448">
        <v>0</v>
      </c>
      <c r="Z22" s="1235"/>
      <c r="AA22" s="1236"/>
      <c r="AB22" s="1237"/>
      <c r="AC22" s="1183"/>
      <c r="AD22" s="1184"/>
      <c r="AE22" s="1231"/>
      <c r="AF22" s="1184"/>
      <c r="AG22" s="1184"/>
      <c r="AH22" s="1232"/>
      <c r="AI22" s="949"/>
    </row>
    <row r="23" spans="1:47" s="33" customFormat="1" ht="15.95" customHeight="1" x14ac:dyDescent="0.2">
      <c r="A23" s="216">
        <v>17</v>
      </c>
      <c r="B23" s="217"/>
      <c r="C23" s="218"/>
      <c r="D23" s="219"/>
      <c r="E23" s="121"/>
      <c r="F23" s="121">
        <f t="shared" si="0"/>
        <v>0</v>
      </c>
      <c r="G23" s="121">
        <f t="shared" si="1"/>
        <v>0</v>
      </c>
      <c r="H23" s="736"/>
      <c r="I23" s="428"/>
      <c r="J23" s="433"/>
      <c r="K23" s="433"/>
      <c r="L23" s="433"/>
      <c r="M23" s="1209"/>
      <c r="N23" s="1167"/>
      <c r="O23" s="734"/>
      <c r="P23" s="1149"/>
      <c r="Q23" s="1209"/>
      <c r="R23" s="1167"/>
      <c r="S23" s="120"/>
      <c r="T23" s="715"/>
      <c r="U23" s="722"/>
      <c r="V23" s="1166"/>
      <c r="W23" s="1167"/>
      <c r="X23" s="443">
        <f>IF(prefix="ss_",D23,IF(ISNA('Pricing and calculations'!F69),"",'Pricing and calculations'!F69))</f>
        <v>0</v>
      </c>
      <c r="Y23" s="450">
        <v>0</v>
      </c>
      <c r="Z23" s="1238"/>
      <c r="AA23" s="1239"/>
      <c r="AB23" s="1240"/>
      <c r="AC23" s="1246"/>
      <c r="AD23" s="1247"/>
      <c r="AE23" s="1241"/>
      <c r="AF23" s="1166"/>
      <c r="AG23" s="1166"/>
      <c r="AH23" s="1242"/>
      <c r="AI23" s="949"/>
    </row>
    <row r="24" spans="1:47" s="33" customFormat="1" ht="15.95" customHeight="1" x14ac:dyDescent="0.2">
      <c r="A24" s="43">
        <v>18</v>
      </c>
      <c r="B24" s="46"/>
      <c r="C24" s="37"/>
      <c r="D24" s="38"/>
      <c r="E24" s="50"/>
      <c r="F24" s="678">
        <f t="shared" si="0"/>
        <v>0</v>
      </c>
      <c r="G24" s="678">
        <f t="shared" si="1"/>
        <v>0</v>
      </c>
      <c r="H24" s="691"/>
      <c r="I24" s="430"/>
      <c r="J24" s="431"/>
      <c r="K24" s="431"/>
      <c r="L24" s="431"/>
      <c r="M24" s="1208"/>
      <c r="N24" s="1165"/>
      <c r="O24" s="733"/>
      <c r="P24" s="1148"/>
      <c r="Q24" s="1208"/>
      <c r="R24" s="1165"/>
      <c r="S24" s="177"/>
      <c r="T24" s="713"/>
      <c r="U24" s="720"/>
      <c r="V24" s="1164"/>
      <c r="W24" s="1165"/>
      <c r="X24" s="444">
        <f>IF(prefix="ss_",D24,IF(ISNA('Pricing and calculations'!F70),"",'Pricing and calculations'!F70))</f>
        <v>0</v>
      </c>
      <c r="Y24" s="448">
        <v>0</v>
      </c>
      <c r="Z24" s="1235"/>
      <c r="AA24" s="1236"/>
      <c r="AB24" s="1237"/>
      <c r="AC24" s="1183"/>
      <c r="AD24" s="1184"/>
      <c r="AE24" s="1231"/>
      <c r="AF24" s="1184"/>
      <c r="AG24" s="1184"/>
      <c r="AH24" s="1232"/>
      <c r="AI24" s="949"/>
    </row>
    <row r="25" spans="1:47" s="33" customFormat="1" ht="15.95" customHeight="1" x14ac:dyDescent="0.2">
      <c r="A25" s="44">
        <v>19</v>
      </c>
      <c r="B25" s="47"/>
      <c r="C25" s="31"/>
      <c r="D25" s="49"/>
      <c r="E25" s="51"/>
      <c r="F25" s="679">
        <f t="shared" si="0"/>
        <v>0</v>
      </c>
      <c r="G25" s="679">
        <f t="shared" si="1"/>
        <v>0</v>
      </c>
      <c r="H25" s="692"/>
      <c r="I25" s="427"/>
      <c r="J25" s="432"/>
      <c r="K25" s="432"/>
      <c r="L25" s="432"/>
      <c r="M25" s="1210"/>
      <c r="N25" s="1161"/>
      <c r="O25" s="686"/>
      <c r="P25" s="1150"/>
      <c r="Q25" s="1210"/>
      <c r="R25" s="1161"/>
      <c r="S25" s="32"/>
      <c r="T25" s="716"/>
      <c r="U25" s="723"/>
      <c r="V25" s="1160"/>
      <c r="W25" s="1161"/>
      <c r="X25" s="445">
        <f>IF(prefix="ss_",D25,IF(ISNA('Pricing and calculations'!F71),"",'Pricing and calculations'!F71))</f>
        <v>0</v>
      </c>
      <c r="Y25" s="449">
        <v>0</v>
      </c>
      <c r="Z25" s="1195"/>
      <c r="AA25" s="1196"/>
      <c r="AB25" s="1197"/>
      <c r="AC25" s="1187"/>
      <c r="AD25" s="1188"/>
      <c r="AE25" s="1290"/>
      <c r="AF25" s="1184"/>
      <c r="AG25" s="1184"/>
      <c r="AH25" s="1232"/>
      <c r="AI25" s="949"/>
    </row>
    <row r="26" spans="1:47" s="33" customFormat="1" ht="15.95" customHeight="1" thickBot="1" x14ac:dyDescent="0.25">
      <c r="A26" s="45">
        <v>20</v>
      </c>
      <c r="B26" s="48"/>
      <c r="C26" s="39"/>
      <c r="D26" s="40"/>
      <c r="E26" s="231"/>
      <c r="F26" s="231">
        <f t="shared" si="0"/>
        <v>0</v>
      </c>
      <c r="G26" s="231">
        <f t="shared" si="1"/>
        <v>0</v>
      </c>
      <c r="H26" s="693"/>
      <c r="I26" s="434"/>
      <c r="J26" s="435"/>
      <c r="K26" s="435"/>
      <c r="L26" s="435"/>
      <c r="M26" s="1211"/>
      <c r="N26" s="1163"/>
      <c r="O26" s="735"/>
      <c r="P26" s="1151"/>
      <c r="Q26" s="1211"/>
      <c r="R26" s="1163"/>
      <c r="S26" s="232"/>
      <c r="T26" s="717"/>
      <c r="U26" s="724"/>
      <c r="V26" s="1162"/>
      <c r="W26" s="1163"/>
      <c r="X26" s="446">
        <f>IF(prefix="ss_",D26,IF(ISNA('Pricing and calculations'!F72),"",'Pricing and calculations'!F72))</f>
        <v>0</v>
      </c>
      <c r="Y26" s="451">
        <v>0</v>
      </c>
      <c r="Z26" s="1272"/>
      <c r="AA26" s="1273"/>
      <c r="AB26" s="1274"/>
      <c r="AC26" s="1185"/>
      <c r="AD26" s="1186"/>
      <c r="AE26" s="1287"/>
      <c r="AF26" s="1288"/>
      <c r="AG26" s="1288"/>
      <c r="AH26" s="1289"/>
      <c r="AI26" s="949"/>
    </row>
    <row r="27" spans="1:47" ht="31.5" customHeight="1" thickBot="1" x14ac:dyDescent="0.3">
      <c r="A27" s="91"/>
      <c r="B27" s="227"/>
      <c r="C27" s="228" t="s">
        <v>54</v>
      </c>
      <c r="D27" s="42">
        <f>SUM(D7:D26)</f>
        <v>9</v>
      </c>
      <c r="E27" s="1264" t="s">
        <v>259</v>
      </c>
      <c r="F27" s="1265"/>
      <c r="G27" s="500">
        <f>IF(Form_Type="Frame",0,ROUNDUP((SUMPRODUCT(D7:D26,F7:F26,G7:G26)/1000000),2))</f>
        <v>20.630000000000003</v>
      </c>
      <c r="H27"/>
      <c r="I27"/>
      <c r="J27" s="972" t="s">
        <v>728</v>
      </c>
      <c r="K27" s="972"/>
      <c r="L27" s="973"/>
      <c r="M27" s="500">
        <f>IF(RC_included=TRUE,1,0)</f>
        <v>0</v>
      </c>
      <c r="N27"/>
      <c r="O27"/>
      <c r="P27"/>
      <c r="Q27"/>
      <c r="R27"/>
      <c r="W27" s="1324" t="s">
        <v>615</v>
      </c>
      <c r="X27" s="1325"/>
      <c r="Y27" s="696" t="s">
        <v>611</v>
      </c>
      <c r="Z27" s="1156">
        <v>0</v>
      </c>
      <c r="AA27" s="1154" t="s">
        <v>612</v>
      </c>
      <c r="AB27" s="1155">
        <v>0</v>
      </c>
      <c r="AC27" s="1"/>
      <c r="AG27" s="2"/>
    </row>
    <row r="28" spans="1:47" ht="7.5" customHeight="1" thickBot="1" x14ac:dyDescent="0.3">
      <c r="A28" s="103"/>
      <c r="B28" s="104"/>
      <c r="C28" s="105"/>
      <c r="D28" s="106"/>
      <c r="E28" s="103"/>
      <c r="F28" s="103"/>
      <c r="G28" s="103"/>
      <c r="H28" s="103"/>
      <c r="I28" s="103"/>
      <c r="J28" s="103"/>
      <c r="K28" s="103"/>
      <c r="L28" s="103"/>
      <c r="M28" s="103"/>
      <c r="N28" s="103"/>
      <c r="O28" s="102"/>
      <c r="P28" s="94"/>
      <c r="Q28" s="94"/>
      <c r="R28" s="94"/>
      <c r="S28" s="94"/>
      <c r="T28" s="94"/>
      <c r="U28" s="94"/>
      <c r="V28" s="94"/>
      <c r="W28" s="94"/>
      <c r="X28" s="107"/>
      <c r="Y28" s="108"/>
      <c r="Z28" s="108"/>
      <c r="AA28" s="108"/>
      <c r="AB28" s="96"/>
    </row>
    <row r="29" spans="1:47" ht="15.95" customHeight="1" thickBot="1" x14ac:dyDescent="0.25">
      <c r="A29" s="1168" t="str">
        <f>IF(C3="op","",IF(Form_Type="EX","Other Options","POSTS"))</f>
        <v>POSTS</v>
      </c>
      <c r="B29" s="1169"/>
      <c r="C29" s="1169"/>
      <c r="D29" s="1169"/>
      <c r="E29" s="1169"/>
      <c r="F29" s="1169"/>
      <c r="G29" s="1169"/>
      <c r="H29" s="1169"/>
      <c r="I29" s="1169"/>
      <c r="J29" s="1169"/>
      <c r="K29" s="1169"/>
      <c r="L29" s="1169"/>
      <c r="M29" s="1169"/>
      <c r="N29" s="1169"/>
      <c r="O29" s="1169"/>
      <c r="P29" s="1169"/>
      <c r="Q29" s="1169"/>
      <c r="R29" s="1169"/>
      <c r="S29" s="1169"/>
      <c r="T29" s="1169"/>
      <c r="U29" s="1169"/>
      <c r="V29" s="1169"/>
      <c r="W29" s="1169"/>
      <c r="X29" s="1169"/>
      <c r="Y29" s="1169"/>
      <c r="Z29" s="1169"/>
      <c r="AA29" s="1169"/>
      <c r="AB29" s="1169"/>
      <c r="AC29" s="1169"/>
      <c r="AD29" s="1169"/>
      <c r="AE29" s="1170"/>
    </row>
    <row r="30" spans="1:47" ht="26.25" customHeight="1" thickBot="1" x14ac:dyDescent="0.25">
      <c r="A30" s="185" t="s">
        <v>7</v>
      </c>
      <c r="B30" s="181" t="s">
        <v>0</v>
      </c>
      <c r="C30" s="188" t="str">
        <f>IF(Form_Type="OP","N/A","Vertical T-Post Type")</f>
        <v>Vertical T-Post Type</v>
      </c>
      <c r="D30" s="1277" t="str">
        <f>IF(Form_Type="OP","N/A","Bay Post Type")</f>
        <v>Bay Post Type</v>
      </c>
      <c r="E30" s="1278" t="str">
        <f>IF(Form_Type="OP","N/A","Vertical T-Post Type")</f>
        <v>Vertical T-Post Type</v>
      </c>
      <c r="F30" s="1316" t="str">
        <f>IF(Form_Type="OP","N/A","Corner Post Type")</f>
        <v>Corner Post Type</v>
      </c>
      <c r="G30" s="1317" t="str">
        <f>IF(Form_Type="OP","N/A","Vertical T-Post Type")</f>
        <v>Vertical T-Post Type</v>
      </c>
      <c r="H30" s="738" t="s">
        <v>651</v>
      </c>
      <c r="I30" s="497" t="str">
        <f>IF(Form_Type="OP","N/A","1st position")</f>
        <v>1st position</v>
      </c>
      <c r="J30" s="497" t="str">
        <f>IF(Form_Type="OP","N/A","1st angle")</f>
        <v>1st angle</v>
      </c>
      <c r="K30" s="497" t="str">
        <f>IF(Form_Type="OP","N/A","2nd position")</f>
        <v>2nd position</v>
      </c>
      <c r="L30" s="497" t="str">
        <f>IF(Form_Type="OP","N/A","2nd angle")</f>
        <v>2nd angle</v>
      </c>
      <c r="M30" s="497" t="str">
        <f>IF(Form_Type="OP","N/A","3rd position")</f>
        <v>3rd position</v>
      </c>
      <c r="N30" s="497" t="str">
        <f>IF(Form_Type="OP","N/A","3rd angle")</f>
        <v>3rd angle</v>
      </c>
      <c r="O30" s="497" t="str">
        <f>IF(Form_Type="OP","N/A","4th position")</f>
        <v>4th position</v>
      </c>
      <c r="P30" s="497" t="str">
        <f>IF(Form_Type="OP","N/A","4th angle")</f>
        <v>4th angle</v>
      </c>
      <c r="Q30" s="497" t="str">
        <f>IF(Form_Type="OP","N/A","5th position")</f>
        <v>5th position</v>
      </c>
      <c r="R30" s="497" t="str">
        <f>IF(Form_Type="OP","N/A","5th angle")</f>
        <v>5th angle</v>
      </c>
      <c r="S30" s="497" t="str">
        <f>IF(Form_Type="OP","N/A","6th position")</f>
        <v>6th position</v>
      </c>
      <c r="T30" s="497" t="str">
        <f>IF(Form_Type="OP","N/A","6th angle")</f>
        <v>6th angle</v>
      </c>
      <c r="U30" s="497" t="str">
        <f>IF(Form_Type="OP","N/A","7th position")</f>
        <v>7th position</v>
      </c>
      <c r="V30" s="497" t="str">
        <f>IF(Form_Type="OP","N/A","7th angle")</f>
        <v>7th angle</v>
      </c>
      <c r="W30" s="497" t="str">
        <f>IF(Form_Type="OP","N/A","8th position")</f>
        <v>8th position</v>
      </c>
      <c r="X30" s="497" t="str">
        <f>IF(Form_Type="OP","N/A","8th angle")</f>
        <v>8th angle</v>
      </c>
      <c r="Y30" s="497" t="str">
        <f>IF(Form_Type="OP","N/A","9th position")</f>
        <v>9th position</v>
      </c>
      <c r="Z30" s="497" t="str">
        <f>IF(Form_Type="OP","N/A","9th angle")</f>
        <v>9th angle</v>
      </c>
      <c r="AA30" s="497" t="str">
        <f>IF(Form_Type="OP","N/A","10th position")</f>
        <v>10th position</v>
      </c>
      <c r="AB30" s="497" t="str">
        <f>IF(Form_Type="OP","N/A","10th angle")</f>
        <v>10th angle</v>
      </c>
      <c r="AC30" s="699" t="str">
        <f>IF(Form_Type="OP","N/A","Side Magnets")</f>
        <v>Side Magnets</v>
      </c>
      <c r="AD30" s="1326" t="s">
        <v>614</v>
      </c>
      <c r="AE30" s="1327"/>
      <c r="AF30" s="737" t="s">
        <v>514</v>
      </c>
      <c r="AT30" s="2"/>
    </row>
    <row r="31" spans="1:47" ht="15.95" customHeight="1" x14ac:dyDescent="0.2">
      <c r="A31" s="122">
        <v>1</v>
      </c>
      <c r="B31" s="128" t="str">
        <f t="shared" ref="B31:B50" si="2">IF(B7=""," ",B7)</f>
        <v xml:space="preserve">Bed 2 </v>
      </c>
      <c r="C31" s="396" t="s">
        <v>207</v>
      </c>
      <c r="D31" s="1279"/>
      <c r="E31" s="1280"/>
      <c r="F31" s="1318"/>
      <c r="G31" s="1319"/>
      <c r="H31" s="396"/>
      <c r="I31" s="118"/>
      <c r="J31" s="118"/>
      <c r="K31" s="118"/>
      <c r="L31" s="685"/>
      <c r="M31" s="685"/>
      <c r="N31" s="685"/>
      <c r="O31" s="685"/>
      <c r="P31" s="685"/>
      <c r="Q31" s="685"/>
      <c r="R31" s="685"/>
      <c r="S31" s="685"/>
      <c r="T31" s="685"/>
      <c r="U31" s="685"/>
      <c r="V31" s="685"/>
      <c r="W31" s="685"/>
      <c r="X31" s="685"/>
      <c r="Y31" s="685"/>
      <c r="Z31" s="685"/>
      <c r="AA31" s="685"/>
      <c r="AB31" s="685"/>
      <c r="AC31" s="700"/>
      <c r="AD31" s="1294"/>
      <c r="AE31" s="1328"/>
      <c r="AF31" s="737">
        <f>'Pricing and calculations'!O75</f>
        <v>4</v>
      </c>
      <c r="AG31" s="737"/>
      <c r="AU31" s="2"/>
    </row>
    <row r="32" spans="1:47" ht="15.95" customHeight="1" x14ac:dyDescent="0.2">
      <c r="A32" s="61">
        <v>2</v>
      </c>
      <c r="B32" s="62" t="str">
        <f t="shared" si="2"/>
        <v>Bed1</v>
      </c>
      <c r="C32" s="397" t="s">
        <v>853</v>
      </c>
      <c r="D32" s="1191"/>
      <c r="E32" s="1192"/>
      <c r="F32" s="1281"/>
      <c r="G32" s="1282"/>
      <c r="H32" s="397"/>
      <c r="I32" s="38">
        <v>585</v>
      </c>
      <c r="J32" s="38"/>
      <c r="K32" s="38">
        <v>2175</v>
      </c>
      <c r="L32" s="681"/>
      <c r="M32" s="681"/>
      <c r="N32" s="681"/>
      <c r="O32" s="681"/>
      <c r="P32" s="681"/>
      <c r="Q32" s="681"/>
      <c r="R32" s="681"/>
      <c r="S32" s="681"/>
      <c r="T32" s="681"/>
      <c r="U32" s="681"/>
      <c r="V32" s="681"/>
      <c r="W32" s="681"/>
      <c r="X32" s="681"/>
      <c r="Y32" s="681"/>
      <c r="Z32" s="681"/>
      <c r="AA32" s="681"/>
      <c r="AB32" s="681"/>
      <c r="AC32" s="701"/>
      <c r="AD32" s="1231"/>
      <c r="AE32" s="1320"/>
      <c r="AF32" s="737">
        <f>'Pricing and calculations'!O76</f>
        <v>4</v>
      </c>
      <c r="AG32" s="737"/>
      <c r="AU32" s="2"/>
    </row>
    <row r="33" spans="1:47" ht="15.95" customHeight="1" x14ac:dyDescent="0.2">
      <c r="A33" s="30">
        <v>3</v>
      </c>
      <c r="B33" s="52" t="str">
        <f t="shared" si="2"/>
        <v xml:space="preserve">Dressing Room </v>
      </c>
      <c r="C33" s="398" t="s">
        <v>207</v>
      </c>
      <c r="D33" s="1189"/>
      <c r="E33" s="1190"/>
      <c r="F33" s="1283"/>
      <c r="G33" s="1284"/>
      <c r="H33" s="398"/>
      <c r="I33" s="32"/>
      <c r="J33" s="32"/>
      <c r="K33" s="32"/>
      <c r="L33" s="686"/>
      <c r="M33" s="686"/>
      <c r="N33" s="686"/>
      <c r="O33" s="686"/>
      <c r="P33" s="686"/>
      <c r="Q33" s="686"/>
      <c r="R33" s="686"/>
      <c r="S33" s="686"/>
      <c r="T33" s="686"/>
      <c r="U33" s="686"/>
      <c r="V33" s="686"/>
      <c r="W33" s="686"/>
      <c r="X33" s="686"/>
      <c r="Y33" s="686"/>
      <c r="Z33" s="686"/>
      <c r="AA33" s="686"/>
      <c r="AB33" s="686"/>
      <c r="AC33" s="695"/>
      <c r="AD33" s="1290"/>
      <c r="AE33" s="1321"/>
      <c r="AF33" s="737">
        <f>'Pricing and calculations'!O77</f>
        <v>4</v>
      </c>
      <c r="AG33" s="737"/>
      <c r="AU33" s="2"/>
    </row>
    <row r="34" spans="1:47" ht="15.95" customHeight="1" x14ac:dyDescent="0.2">
      <c r="A34" s="61">
        <v>4</v>
      </c>
      <c r="B34" s="62" t="str">
        <f t="shared" si="2"/>
        <v xml:space="preserve">Front Door Panels </v>
      </c>
      <c r="C34" s="397" t="s">
        <v>207</v>
      </c>
      <c r="D34" s="1191"/>
      <c r="E34" s="1192"/>
      <c r="F34" s="1281"/>
      <c r="G34" s="1282"/>
      <c r="H34" s="397"/>
      <c r="I34" s="38"/>
      <c r="J34" s="38"/>
      <c r="K34" s="38"/>
      <c r="L34" s="681"/>
      <c r="M34" s="681"/>
      <c r="N34" s="681"/>
      <c r="O34" s="681"/>
      <c r="P34" s="681"/>
      <c r="Q34" s="681"/>
      <c r="R34" s="681"/>
      <c r="S34" s="681"/>
      <c r="T34" s="681"/>
      <c r="U34" s="681"/>
      <c r="V34" s="681"/>
      <c r="W34" s="681"/>
      <c r="X34" s="681"/>
      <c r="Y34" s="681"/>
      <c r="Z34" s="681"/>
      <c r="AA34" s="681"/>
      <c r="AB34" s="681"/>
      <c r="AC34" s="701"/>
      <c r="AD34" s="1231"/>
      <c r="AE34" s="1320"/>
      <c r="AF34" s="737">
        <f>'Pricing and calculations'!O78</f>
        <v>4</v>
      </c>
      <c r="AG34" s="737"/>
      <c r="AU34" s="2"/>
    </row>
    <row r="35" spans="1:47" ht="15.95" customHeight="1" x14ac:dyDescent="0.2">
      <c r="A35" s="220">
        <v>5</v>
      </c>
      <c r="B35" s="221" t="str">
        <f t="shared" si="2"/>
        <v xml:space="preserve">Front Door Panels </v>
      </c>
      <c r="C35" s="399" t="s">
        <v>207</v>
      </c>
      <c r="D35" s="1193"/>
      <c r="E35" s="1194"/>
      <c r="F35" s="1285"/>
      <c r="G35" s="1286"/>
      <c r="H35" s="399"/>
      <c r="I35" s="219"/>
      <c r="J35" s="219"/>
      <c r="K35" s="219"/>
      <c r="L35" s="684"/>
      <c r="M35" s="684"/>
      <c r="N35" s="684"/>
      <c r="O35" s="684"/>
      <c r="P35" s="684"/>
      <c r="Q35" s="684"/>
      <c r="R35" s="684"/>
      <c r="S35" s="684"/>
      <c r="T35" s="684"/>
      <c r="U35" s="684"/>
      <c r="V35" s="684"/>
      <c r="W35" s="684"/>
      <c r="X35" s="684"/>
      <c r="Y35" s="684"/>
      <c r="Z35" s="684"/>
      <c r="AA35" s="684"/>
      <c r="AB35" s="684"/>
      <c r="AC35" s="702"/>
      <c r="AD35" s="1241"/>
      <c r="AE35" s="1242"/>
      <c r="AF35" s="737">
        <f>'Pricing and calculations'!O79</f>
        <v>4</v>
      </c>
      <c r="AG35" s="737"/>
      <c r="AU35" s="2"/>
    </row>
    <row r="36" spans="1:47" ht="15.95" customHeight="1" x14ac:dyDescent="0.2">
      <c r="A36" s="61">
        <v>6</v>
      </c>
      <c r="B36" s="62" t="str">
        <f t="shared" si="2"/>
        <v>Study</v>
      </c>
      <c r="C36" s="397" t="s">
        <v>207</v>
      </c>
      <c r="D36" s="1191"/>
      <c r="E36" s="1192"/>
      <c r="F36" s="1281"/>
      <c r="G36" s="1282"/>
      <c r="H36" s="397"/>
      <c r="I36" s="38"/>
      <c r="J36" s="38"/>
      <c r="K36" s="38"/>
      <c r="L36" s="681"/>
      <c r="M36" s="681"/>
      <c r="N36" s="681"/>
      <c r="O36" s="681"/>
      <c r="P36" s="681"/>
      <c r="Q36" s="681"/>
      <c r="R36" s="681"/>
      <c r="S36" s="681"/>
      <c r="T36" s="681"/>
      <c r="U36" s="681"/>
      <c r="V36" s="681"/>
      <c r="W36" s="681"/>
      <c r="X36" s="681"/>
      <c r="Y36" s="681"/>
      <c r="Z36" s="681"/>
      <c r="AA36" s="681"/>
      <c r="AB36" s="681"/>
      <c r="AC36" s="701"/>
      <c r="AD36" s="1231"/>
      <c r="AE36" s="1320"/>
      <c r="AF36" s="737">
        <f>'Pricing and calculations'!O80</f>
        <v>3</v>
      </c>
      <c r="AG36" s="737"/>
      <c r="AU36" s="2"/>
    </row>
    <row r="37" spans="1:47" ht="15.95" customHeight="1" x14ac:dyDescent="0.2">
      <c r="A37" s="30">
        <v>7</v>
      </c>
      <c r="B37" s="52" t="str">
        <f t="shared" si="2"/>
        <v>Study</v>
      </c>
      <c r="C37" s="398" t="s">
        <v>207</v>
      </c>
      <c r="D37" s="1189"/>
      <c r="E37" s="1190"/>
      <c r="F37" s="1283"/>
      <c r="G37" s="1284"/>
      <c r="H37" s="398"/>
      <c r="I37" s="32"/>
      <c r="J37" s="32"/>
      <c r="K37" s="32"/>
      <c r="L37" s="686"/>
      <c r="M37" s="686"/>
      <c r="N37" s="686"/>
      <c r="O37" s="686"/>
      <c r="P37" s="686"/>
      <c r="Q37" s="686"/>
      <c r="R37" s="686"/>
      <c r="S37" s="686"/>
      <c r="T37" s="686"/>
      <c r="U37" s="686"/>
      <c r="V37" s="686"/>
      <c r="W37" s="686"/>
      <c r="X37" s="686"/>
      <c r="Y37" s="686"/>
      <c r="Z37" s="686"/>
      <c r="AA37" s="686"/>
      <c r="AB37" s="686"/>
      <c r="AC37" s="695"/>
      <c r="AD37" s="1290"/>
      <c r="AE37" s="1321"/>
      <c r="AF37" s="737">
        <f>'Pricing and calculations'!O81</f>
        <v>3</v>
      </c>
      <c r="AG37" s="737"/>
      <c r="AU37" s="2"/>
    </row>
    <row r="38" spans="1:47" ht="15.95" customHeight="1" x14ac:dyDescent="0.2">
      <c r="A38" s="61">
        <v>8</v>
      </c>
      <c r="B38" s="62" t="str">
        <f t="shared" si="2"/>
        <v xml:space="preserve">Living Room </v>
      </c>
      <c r="C38" s="397" t="s">
        <v>207</v>
      </c>
      <c r="D38" s="1191"/>
      <c r="E38" s="1192"/>
      <c r="F38" s="1281"/>
      <c r="G38" s="1282"/>
      <c r="H38" s="397"/>
      <c r="I38" s="38"/>
      <c r="J38" s="38"/>
      <c r="K38" s="38"/>
      <c r="L38" s="681"/>
      <c r="M38" s="681"/>
      <c r="N38" s="681"/>
      <c r="O38" s="681"/>
      <c r="P38" s="681"/>
      <c r="Q38" s="681"/>
      <c r="R38" s="681"/>
      <c r="S38" s="681"/>
      <c r="T38" s="681"/>
      <c r="U38" s="681"/>
      <c r="V38" s="681"/>
      <c r="W38" s="681"/>
      <c r="X38" s="681"/>
      <c r="Y38" s="681"/>
      <c r="Z38" s="681"/>
      <c r="AA38" s="681"/>
      <c r="AB38" s="681"/>
      <c r="AC38" s="701"/>
      <c r="AD38" s="1231"/>
      <c r="AE38" s="1320"/>
      <c r="AF38" s="737">
        <f>'Pricing and calculations'!O82</f>
        <v>4</v>
      </c>
      <c r="AG38" s="737"/>
      <c r="AU38" s="2"/>
    </row>
    <row r="39" spans="1:47" ht="15.95" customHeight="1" x14ac:dyDescent="0.2">
      <c r="A39" s="220">
        <v>9</v>
      </c>
      <c r="B39" s="221" t="str">
        <f t="shared" si="2"/>
        <v>Utility</v>
      </c>
      <c r="C39" s="399" t="s">
        <v>207</v>
      </c>
      <c r="D39" s="1193"/>
      <c r="E39" s="1194"/>
      <c r="F39" s="1285"/>
      <c r="G39" s="1286"/>
      <c r="H39" s="399"/>
      <c r="I39" s="219"/>
      <c r="J39" s="219"/>
      <c r="K39" s="219"/>
      <c r="L39" s="684"/>
      <c r="M39" s="684"/>
      <c r="N39" s="684"/>
      <c r="O39" s="684"/>
      <c r="P39" s="684"/>
      <c r="Q39" s="684"/>
      <c r="R39" s="684"/>
      <c r="S39" s="684"/>
      <c r="T39" s="684"/>
      <c r="U39" s="684"/>
      <c r="V39" s="684"/>
      <c r="W39" s="684"/>
      <c r="X39" s="684"/>
      <c r="Y39" s="684"/>
      <c r="Z39" s="684"/>
      <c r="AA39" s="684"/>
      <c r="AB39" s="684"/>
      <c r="AC39" s="702"/>
      <c r="AD39" s="1241"/>
      <c r="AE39" s="1242"/>
      <c r="AF39" s="737">
        <f>'Pricing and calculations'!O83</f>
        <v>4</v>
      </c>
      <c r="AG39" s="737"/>
      <c r="AU39" s="2"/>
    </row>
    <row r="40" spans="1:47" ht="15.95" customHeight="1" x14ac:dyDescent="0.2">
      <c r="A40" s="61">
        <v>10</v>
      </c>
      <c r="B40" s="62" t="str">
        <f t="shared" si="2"/>
        <v xml:space="preserve"> </v>
      </c>
      <c r="C40" s="397" t="s">
        <v>207</v>
      </c>
      <c r="D40" s="1191"/>
      <c r="E40" s="1192"/>
      <c r="F40" s="1281"/>
      <c r="G40" s="1282"/>
      <c r="H40" s="397"/>
      <c r="I40" s="38"/>
      <c r="J40" s="38"/>
      <c r="K40" s="38"/>
      <c r="L40" s="681"/>
      <c r="M40" s="681"/>
      <c r="N40" s="681"/>
      <c r="O40" s="681"/>
      <c r="P40" s="681"/>
      <c r="Q40" s="681"/>
      <c r="R40" s="681"/>
      <c r="S40" s="681"/>
      <c r="T40" s="681"/>
      <c r="U40" s="681"/>
      <c r="V40" s="681"/>
      <c r="W40" s="681"/>
      <c r="X40" s="681"/>
      <c r="Y40" s="681"/>
      <c r="Z40" s="681"/>
      <c r="AA40" s="681"/>
      <c r="AB40" s="681"/>
      <c r="AC40" s="701"/>
      <c r="AD40" s="1231"/>
      <c r="AE40" s="1320"/>
      <c r="AF40" s="737">
        <f>'Pricing and calculations'!O84</f>
        <v>0</v>
      </c>
      <c r="AG40" s="737"/>
      <c r="AU40" s="2"/>
    </row>
    <row r="41" spans="1:47" ht="15.95" customHeight="1" x14ac:dyDescent="0.2">
      <c r="A41" s="30">
        <v>11</v>
      </c>
      <c r="B41" s="52" t="str">
        <f t="shared" si="2"/>
        <v xml:space="preserve"> </v>
      </c>
      <c r="C41" s="398" t="s">
        <v>207</v>
      </c>
      <c r="D41" s="1189"/>
      <c r="E41" s="1190"/>
      <c r="F41" s="1283"/>
      <c r="G41" s="1284"/>
      <c r="H41" s="398"/>
      <c r="I41" s="32"/>
      <c r="J41" s="32"/>
      <c r="K41" s="32"/>
      <c r="L41" s="686"/>
      <c r="M41" s="686"/>
      <c r="N41" s="686"/>
      <c r="O41" s="686"/>
      <c r="P41" s="686"/>
      <c r="Q41" s="686"/>
      <c r="R41" s="686"/>
      <c r="S41" s="686"/>
      <c r="T41" s="686"/>
      <c r="U41" s="686"/>
      <c r="V41" s="686"/>
      <c r="W41" s="686"/>
      <c r="X41" s="686"/>
      <c r="Y41" s="686"/>
      <c r="Z41" s="686"/>
      <c r="AA41" s="686"/>
      <c r="AB41" s="686"/>
      <c r="AC41" s="695"/>
      <c r="AD41" s="1290"/>
      <c r="AE41" s="1321"/>
      <c r="AF41" s="737">
        <f>'Pricing and calculations'!O85</f>
        <v>0</v>
      </c>
      <c r="AG41" s="737"/>
      <c r="AU41" s="2"/>
    </row>
    <row r="42" spans="1:47" ht="15.95" customHeight="1" x14ac:dyDescent="0.2">
      <c r="A42" s="61">
        <v>12</v>
      </c>
      <c r="B42" s="62" t="str">
        <f t="shared" si="2"/>
        <v xml:space="preserve"> </v>
      </c>
      <c r="C42" s="397"/>
      <c r="D42" s="1191"/>
      <c r="E42" s="1192"/>
      <c r="F42" s="1281"/>
      <c r="G42" s="1282"/>
      <c r="H42" s="397"/>
      <c r="I42" s="38"/>
      <c r="J42" s="38"/>
      <c r="K42" s="38"/>
      <c r="L42" s="681"/>
      <c r="M42" s="681"/>
      <c r="N42" s="681"/>
      <c r="O42" s="681"/>
      <c r="P42" s="681"/>
      <c r="Q42" s="681"/>
      <c r="R42" s="681"/>
      <c r="S42" s="681"/>
      <c r="T42" s="681"/>
      <c r="U42" s="681"/>
      <c r="V42" s="681"/>
      <c r="W42" s="681"/>
      <c r="X42" s="681"/>
      <c r="Y42" s="681"/>
      <c r="Z42" s="681"/>
      <c r="AA42" s="681"/>
      <c r="AB42" s="681"/>
      <c r="AC42" s="701"/>
      <c r="AD42" s="1231"/>
      <c r="AE42" s="1320"/>
      <c r="AF42" s="737">
        <f>'Pricing and calculations'!O86</f>
        <v>0</v>
      </c>
      <c r="AG42" s="737"/>
      <c r="AU42" s="2"/>
    </row>
    <row r="43" spans="1:47" ht="15.95" customHeight="1" x14ac:dyDescent="0.2">
      <c r="A43" s="220">
        <v>13</v>
      </c>
      <c r="B43" s="221" t="str">
        <f t="shared" si="2"/>
        <v xml:space="preserve"> </v>
      </c>
      <c r="C43" s="399"/>
      <c r="D43" s="1193"/>
      <c r="E43" s="1194"/>
      <c r="F43" s="1285"/>
      <c r="G43" s="1286"/>
      <c r="H43" s="399"/>
      <c r="I43" s="219"/>
      <c r="J43" s="219"/>
      <c r="K43" s="219"/>
      <c r="L43" s="684"/>
      <c r="M43" s="684"/>
      <c r="N43" s="684"/>
      <c r="O43" s="684"/>
      <c r="P43" s="684"/>
      <c r="Q43" s="684"/>
      <c r="R43" s="684"/>
      <c r="S43" s="684"/>
      <c r="T43" s="684"/>
      <c r="U43" s="684"/>
      <c r="V43" s="684"/>
      <c r="W43" s="684"/>
      <c r="X43" s="684"/>
      <c r="Y43" s="684"/>
      <c r="Z43" s="684"/>
      <c r="AA43" s="684"/>
      <c r="AB43" s="684"/>
      <c r="AC43" s="703"/>
      <c r="AD43" s="1241"/>
      <c r="AE43" s="1242"/>
      <c r="AF43" s="737">
        <f>'Pricing and calculations'!O87</f>
        <v>0</v>
      </c>
      <c r="AG43" s="737"/>
      <c r="AU43" s="2"/>
    </row>
    <row r="44" spans="1:47" ht="15.95" customHeight="1" x14ac:dyDescent="0.2">
      <c r="A44" s="61">
        <v>14</v>
      </c>
      <c r="B44" s="62" t="str">
        <f t="shared" si="2"/>
        <v xml:space="preserve"> </v>
      </c>
      <c r="C44" s="397"/>
      <c r="D44" s="1191"/>
      <c r="E44" s="1192"/>
      <c r="F44" s="1281"/>
      <c r="G44" s="1282"/>
      <c r="H44" s="397"/>
      <c r="I44" s="38"/>
      <c r="J44" s="38"/>
      <c r="K44" s="38"/>
      <c r="L44" s="681"/>
      <c r="M44" s="681"/>
      <c r="N44" s="681"/>
      <c r="O44" s="681"/>
      <c r="P44" s="681"/>
      <c r="Q44" s="681"/>
      <c r="R44" s="681"/>
      <c r="S44" s="681"/>
      <c r="T44" s="681"/>
      <c r="U44" s="681"/>
      <c r="V44" s="681"/>
      <c r="W44" s="681"/>
      <c r="X44" s="681"/>
      <c r="Y44" s="681"/>
      <c r="Z44" s="681"/>
      <c r="AA44" s="681"/>
      <c r="AB44" s="681"/>
      <c r="AC44" s="701"/>
      <c r="AD44" s="1231"/>
      <c r="AE44" s="1320"/>
      <c r="AF44" s="737">
        <f>'Pricing and calculations'!O88</f>
        <v>0</v>
      </c>
      <c r="AG44" s="737"/>
      <c r="AU44" s="2"/>
    </row>
    <row r="45" spans="1:47" ht="15.95" customHeight="1" x14ac:dyDescent="0.2">
      <c r="A45" s="30">
        <v>15</v>
      </c>
      <c r="B45" s="52" t="str">
        <f t="shared" si="2"/>
        <v xml:space="preserve"> </v>
      </c>
      <c r="C45" s="398"/>
      <c r="D45" s="1189"/>
      <c r="E45" s="1190"/>
      <c r="F45" s="1283"/>
      <c r="G45" s="1284"/>
      <c r="H45" s="398"/>
      <c r="I45" s="32"/>
      <c r="J45" s="32"/>
      <c r="K45" s="32"/>
      <c r="L45" s="686"/>
      <c r="M45" s="686"/>
      <c r="N45" s="686"/>
      <c r="O45" s="686"/>
      <c r="P45" s="686"/>
      <c r="Q45" s="686"/>
      <c r="R45" s="686"/>
      <c r="S45" s="686"/>
      <c r="T45" s="686"/>
      <c r="U45" s="686"/>
      <c r="V45" s="686"/>
      <c r="W45" s="686"/>
      <c r="X45" s="686"/>
      <c r="Y45" s="686"/>
      <c r="Z45" s="686"/>
      <c r="AA45" s="686"/>
      <c r="AB45" s="686"/>
      <c r="AC45" s="695"/>
      <c r="AD45" s="1290"/>
      <c r="AE45" s="1321"/>
      <c r="AF45" s="737">
        <f>'Pricing and calculations'!O89</f>
        <v>0</v>
      </c>
      <c r="AG45" s="737"/>
      <c r="AU45" s="2"/>
    </row>
    <row r="46" spans="1:47" ht="15.95" customHeight="1" x14ac:dyDescent="0.2">
      <c r="A46" s="229">
        <v>16</v>
      </c>
      <c r="B46" s="62" t="str">
        <f t="shared" si="2"/>
        <v xml:space="preserve"> </v>
      </c>
      <c r="C46" s="397"/>
      <c r="D46" s="1191"/>
      <c r="E46" s="1192"/>
      <c r="F46" s="1281"/>
      <c r="G46" s="1282"/>
      <c r="H46" s="397"/>
      <c r="I46" s="38"/>
      <c r="J46" s="38"/>
      <c r="K46" s="38"/>
      <c r="L46" s="681"/>
      <c r="M46" s="681"/>
      <c r="N46" s="681"/>
      <c r="O46" s="681"/>
      <c r="P46" s="681"/>
      <c r="Q46" s="681"/>
      <c r="R46" s="681"/>
      <c r="S46" s="681"/>
      <c r="T46" s="681"/>
      <c r="U46" s="681"/>
      <c r="V46" s="681"/>
      <c r="W46" s="681"/>
      <c r="X46" s="681"/>
      <c r="Y46" s="681"/>
      <c r="Z46" s="681"/>
      <c r="AA46" s="681"/>
      <c r="AB46" s="681"/>
      <c r="AC46" s="701"/>
      <c r="AD46" s="1231"/>
      <c r="AE46" s="1320"/>
      <c r="AF46" s="737">
        <f>'Pricing and calculations'!O90</f>
        <v>0</v>
      </c>
      <c r="AG46" s="737"/>
      <c r="AU46" s="2"/>
    </row>
    <row r="47" spans="1:47" ht="15.95" customHeight="1" x14ac:dyDescent="0.2">
      <c r="A47" s="220">
        <v>17</v>
      </c>
      <c r="B47" s="221" t="str">
        <f t="shared" si="2"/>
        <v xml:space="preserve"> </v>
      </c>
      <c r="C47" s="399"/>
      <c r="D47" s="1193"/>
      <c r="E47" s="1194"/>
      <c r="F47" s="1285"/>
      <c r="G47" s="1286"/>
      <c r="H47" s="399"/>
      <c r="I47" s="219"/>
      <c r="J47" s="219"/>
      <c r="K47" s="219"/>
      <c r="L47" s="684"/>
      <c r="M47" s="684"/>
      <c r="N47" s="684"/>
      <c r="O47" s="684"/>
      <c r="P47" s="684"/>
      <c r="Q47" s="684"/>
      <c r="R47" s="684"/>
      <c r="S47" s="684"/>
      <c r="T47" s="684"/>
      <c r="U47" s="684"/>
      <c r="V47" s="684"/>
      <c r="W47" s="684"/>
      <c r="X47" s="684"/>
      <c r="Y47" s="684"/>
      <c r="Z47" s="684"/>
      <c r="AA47" s="684"/>
      <c r="AB47" s="684"/>
      <c r="AC47" s="703"/>
      <c r="AD47" s="1241"/>
      <c r="AE47" s="1242"/>
      <c r="AF47" s="737">
        <f>'Pricing and calculations'!O91</f>
        <v>0</v>
      </c>
      <c r="AG47" s="737"/>
      <c r="AU47" s="2"/>
    </row>
    <row r="48" spans="1:47" ht="15.95" customHeight="1" x14ac:dyDescent="0.2">
      <c r="A48" s="61">
        <v>18</v>
      </c>
      <c r="B48" s="62" t="str">
        <f t="shared" si="2"/>
        <v xml:space="preserve"> </v>
      </c>
      <c r="C48" s="397"/>
      <c r="D48" s="1191"/>
      <c r="E48" s="1192"/>
      <c r="F48" s="1281"/>
      <c r="G48" s="1282"/>
      <c r="H48" s="397"/>
      <c r="I48" s="38"/>
      <c r="J48" s="38"/>
      <c r="K48" s="38"/>
      <c r="L48" s="681"/>
      <c r="M48" s="681"/>
      <c r="N48" s="681"/>
      <c r="O48" s="681"/>
      <c r="P48" s="681"/>
      <c r="Q48" s="681"/>
      <c r="R48" s="681"/>
      <c r="S48" s="681"/>
      <c r="T48" s="681"/>
      <c r="U48" s="681"/>
      <c r="V48" s="681"/>
      <c r="W48" s="681"/>
      <c r="X48" s="681"/>
      <c r="Y48" s="681"/>
      <c r="Z48" s="681"/>
      <c r="AA48" s="681"/>
      <c r="AB48" s="681"/>
      <c r="AC48" s="701"/>
      <c r="AD48" s="1231"/>
      <c r="AE48" s="1320"/>
      <c r="AF48" s="737">
        <f>'Pricing and calculations'!O92</f>
        <v>0</v>
      </c>
      <c r="AG48" s="737"/>
      <c r="AU48" s="2"/>
    </row>
    <row r="49" spans="1:47" ht="15.95" customHeight="1" x14ac:dyDescent="0.2">
      <c r="A49" s="30">
        <v>19</v>
      </c>
      <c r="B49" s="52" t="str">
        <f t="shared" si="2"/>
        <v xml:space="preserve"> </v>
      </c>
      <c r="C49" s="398"/>
      <c r="D49" s="1189"/>
      <c r="E49" s="1190"/>
      <c r="F49" s="1283"/>
      <c r="G49" s="1284"/>
      <c r="H49" s="398"/>
      <c r="I49" s="32"/>
      <c r="J49" s="32"/>
      <c r="K49" s="32"/>
      <c r="L49" s="686"/>
      <c r="M49" s="686"/>
      <c r="N49" s="686"/>
      <c r="O49" s="686"/>
      <c r="P49" s="686"/>
      <c r="Q49" s="686"/>
      <c r="R49" s="686"/>
      <c r="S49" s="686"/>
      <c r="T49" s="686"/>
      <c r="U49" s="686"/>
      <c r="V49" s="686"/>
      <c r="W49" s="686"/>
      <c r="X49" s="686"/>
      <c r="Y49" s="686"/>
      <c r="Z49" s="686"/>
      <c r="AA49" s="686"/>
      <c r="AB49" s="686"/>
      <c r="AC49" s="695"/>
      <c r="AD49" s="1290"/>
      <c r="AE49" s="1321"/>
      <c r="AF49" s="737">
        <f>'Pricing and calculations'!O93</f>
        <v>0</v>
      </c>
      <c r="AG49" s="737"/>
      <c r="AU49" s="2"/>
    </row>
    <row r="50" spans="1:47" ht="15.95" customHeight="1" thickBot="1" x14ac:dyDescent="0.25">
      <c r="A50" s="233">
        <v>20</v>
      </c>
      <c r="B50" s="234" t="str">
        <f t="shared" si="2"/>
        <v xml:space="preserve"> </v>
      </c>
      <c r="C50" s="400"/>
      <c r="D50" s="1275"/>
      <c r="E50" s="1276"/>
      <c r="F50" s="1275"/>
      <c r="G50" s="1276"/>
      <c r="H50" s="709"/>
      <c r="I50" s="1153"/>
      <c r="J50" s="697"/>
      <c r="K50" s="697"/>
      <c r="L50" s="682"/>
      <c r="M50" s="682"/>
      <c r="N50" s="682"/>
      <c r="O50" s="682"/>
      <c r="P50" s="682"/>
      <c r="Q50" s="682"/>
      <c r="R50" s="682"/>
      <c r="S50" s="682"/>
      <c r="T50" s="682"/>
      <c r="U50" s="682"/>
      <c r="V50" s="682"/>
      <c r="W50" s="682"/>
      <c r="X50" s="682"/>
      <c r="Y50" s="682"/>
      <c r="Z50" s="682"/>
      <c r="AA50" s="682"/>
      <c r="AB50" s="682"/>
      <c r="AC50" s="704"/>
      <c r="AD50" s="1322"/>
      <c r="AE50" s="1323"/>
      <c r="AF50" s="737">
        <f>'Pricing and calculations'!O94</f>
        <v>0</v>
      </c>
      <c r="AG50" s="737"/>
      <c r="AU50" s="2"/>
    </row>
    <row r="51" spans="1:47" ht="3.75" customHeight="1" x14ac:dyDescent="0.2">
      <c r="A51" s="107"/>
      <c r="B51" s="173"/>
      <c r="C51" s="174"/>
      <c r="D51" s="174"/>
      <c r="E51" s="174"/>
      <c r="F51" s="174"/>
      <c r="G51" s="107"/>
      <c r="H51" s="107"/>
      <c r="I51" s="107"/>
      <c r="J51" s="107"/>
      <c r="K51" s="107"/>
      <c r="AC51" s="108"/>
      <c r="AD51" s="87"/>
    </row>
    <row r="52" spans="1:47" ht="15.95" customHeight="1" thickBot="1" x14ac:dyDescent="0.25">
      <c r="B52" s="109"/>
      <c r="C52" s="107"/>
      <c r="D52" s="107"/>
      <c r="E52" s="107"/>
      <c r="F52" s="107"/>
      <c r="G52" s="107"/>
      <c r="H52" s="107"/>
      <c r="I52" s="107"/>
      <c r="J52" s="107"/>
      <c r="K52" s="107"/>
      <c r="U52" s="705"/>
      <c r="V52" s="705"/>
    </row>
    <row r="53" spans="1:47" ht="16.5" thickBot="1" x14ac:dyDescent="0.3">
      <c r="E53" s="303" t="str">
        <f>IF(Form_Type="EX","","BUILD-OUTS")</f>
        <v>BUILD-OUTS</v>
      </c>
      <c r="F53" s="215"/>
      <c r="L53" s="87"/>
      <c r="M53" s="302" t="str">
        <f>IF(Form_Type="EX","","OPTIONAL BATTENS &amp; COVER STRIPS")</f>
        <v>OPTIONAL BATTENS &amp; COVER STRIPS</v>
      </c>
      <c r="N53" s="314"/>
      <c r="O53" s="213"/>
      <c r="P53" s="213"/>
      <c r="Q53" s="213"/>
      <c r="R53" s="213"/>
      <c r="S53" s="214"/>
      <c r="T53"/>
      <c r="U53" s="498"/>
      <c r="V53" s="698"/>
      <c r="W53" s="302" t="s">
        <v>261</v>
      </c>
      <c r="X53" s="314"/>
      <c r="Y53" s="1233"/>
      <c r="Z53" s="1228"/>
      <c r="AA53" s="1228"/>
      <c r="AB53" s="1230"/>
    </row>
    <row r="54" spans="1:47" ht="15.75" thickBot="1" x14ac:dyDescent="0.25">
      <c r="D54" s="185" t="s">
        <v>7</v>
      </c>
      <c r="E54" s="590" t="str">
        <f>IF(Form_Type="OP","N/A",IF(Form_Type="EX","Hinge Groove","Option"))</f>
        <v>Option</v>
      </c>
      <c r="F54" s="380" t="s">
        <v>136</v>
      </c>
      <c r="L54" s="185" t="s">
        <v>7</v>
      </c>
      <c r="M54" s="1331" t="s">
        <v>2</v>
      </c>
      <c r="N54" s="1313"/>
      <c r="O54" s="316" t="s">
        <v>499</v>
      </c>
      <c r="P54" s="317" t="s">
        <v>29</v>
      </c>
      <c r="Q54" s="317" t="s">
        <v>136</v>
      </c>
      <c r="R54" s="317" t="s">
        <v>53</v>
      </c>
      <c r="S54" s="318" t="s">
        <v>8</v>
      </c>
      <c r="T54"/>
      <c r="U54" s="498"/>
      <c r="V54" s="706"/>
      <c r="W54" s="189" t="s">
        <v>7</v>
      </c>
      <c r="X54" s="315" t="s">
        <v>0</v>
      </c>
      <c r="Y54" s="190" t="s">
        <v>654</v>
      </c>
      <c r="Z54" s="191" t="s">
        <v>62</v>
      </c>
      <c r="AA54" s="191" t="s">
        <v>8</v>
      </c>
      <c r="AB54" s="192" t="s">
        <v>11</v>
      </c>
    </row>
    <row r="55" spans="1:47" ht="15" x14ac:dyDescent="0.2">
      <c r="D55" s="122">
        <v>1</v>
      </c>
      <c r="E55" s="591"/>
      <c r="F55" s="376"/>
      <c r="L55" s="122">
        <v>1</v>
      </c>
      <c r="M55" s="1332" t="s">
        <v>87</v>
      </c>
      <c r="N55" s="1333"/>
      <c r="O55" s="304" t="s">
        <v>470</v>
      </c>
      <c r="P55" s="384"/>
      <c r="Q55" s="384"/>
      <c r="R55" s="384">
        <v>2220</v>
      </c>
      <c r="S55" s="385">
        <v>1</v>
      </c>
      <c r="T55"/>
      <c r="U55" s="498"/>
      <c r="V55" s="707"/>
      <c r="W55" s="123">
        <v>1</v>
      </c>
      <c r="X55" s="309" t="str">
        <f t="shared" ref="X55:X74" si="3">IF(B7=""," ",B7)</f>
        <v xml:space="preserve">Bed 2 </v>
      </c>
      <c r="Y55" s="124">
        <f ca="1">'Pricing and calculations'!Q7</f>
        <v>283.43422800000002</v>
      </c>
      <c r="Z55" s="125">
        <f ca="1">'Pricing and calculations'!U7</f>
        <v>177.14639250000002</v>
      </c>
      <c r="AA55" s="126">
        <f>'Pricing and calculations'!V7</f>
        <v>1</v>
      </c>
      <c r="AB55" s="127">
        <f ca="1">'Pricing and calculations'!W7</f>
        <v>177.14639250000002</v>
      </c>
    </row>
    <row r="56" spans="1:47" ht="15" x14ac:dyDescent="0.2">
      <c r="D56" s="61">
        <v>2</v>
      </c>
      <c r="E56" s="586"/>
      <c r="F56" s="377"/>
      <c r="L56" s="61">
        <v>2</v>
      </c>
      <c r="M56" s="1218" t="s">
        <v>87</v>
      </c>
      <c r="N56" s="1219"/>
      <c r="O56" s="305" t="s">
        <v>470</v>
      </c>
      <c r="P56" s="386"/>
      <c r="Q56" s="386"/>
      <c r="R56" s="386">
        <v>1400</v>
      </c>
      <c r="S56" s="387">
        <v>2</v>
      </c>
      <c r="T56"/>
      <c r="U56" s="498"/>
      <c r="V56" s="707"/>
      <c r="W56" s="41">
        <v>2</v>
      </c>
      <c r="X56" s="310" t="str">
        <f t="shared" si="3"/>
        <v>Bed1</v>
      </c>
      <c r="Y56" s="53">
        <f ca="1">'Pricing and calculations'!Q8</f>
        <v>491.07113999999996</v>
      </c>
      <c r="Z56" s="54">
        <f ca="1">'Pricing and calculations'!U8</f>
        <v>306.91946249999995</v>
      </c>
      <c r="AA56" s="55">
        <f>'Pricing and calculations'!V8</f>
        <v>1</v>
      </c>
      <c r="AB56" s="56">
        <f ca="1">'Pricing and calculations'!W8</f>
        <v>306.91946249999995</v>
      </c>
    </row>
    <row r="57" spans="1:47" ht="15" x14ac:dyDescent="0.2">
      <c r="D57" s="30">
        <v>3</v>
      </c>
      <c r="E57" s="587"/>
      <c r="F57" s="381"/>
      <c r="L57" s="30">
        <v>3</v>
      </c>
      <c r="M57" s="1220" t="s">
        <v>87</v>
      </c>
      <c r="N57" s="1221"/>
      <c r="O57" s="306" t="s">
        <v>241</v>
      </c>
      <c r="P57" s="388"/>
      <c r="Q57" s="388"/>
      <c r="R57" s="388">
        <v>2100</v>
      </c>
      <c r="S57" s="389">
        <v>1</v>
      </c>
      <c r="T57"/>
      <c r="U57" s="498"/>
      <c r="V57" s="707"/>
      <c r="W57" s="22">
        <v>3</v>
      </c>
      <c r="X57" s="311" t="str">
        <f t="shared" si="3"/>
        <v xml:space="preserve">Dressing Room </v>
      </c>
      <c r="Y57" s="57">
        <f ca="1">'Pricing and calculations'!Q9</f>
        <v>286.46520000000004</v>
      </c>
      <c r="Z57" s="58">
        <f ca="1">'Pricing and calculations'!U9</f>
        <v>179.04075000000003</v>
      </c>
      <c r="AA57" s="59">
        <f>'Pricing and calculations'!V9</f>
        <v>1</v>
      </c>
      <c r="AB57" s="60">
        <f ca="1">'Pricing and calculations'!W9</f>
        <v>179.04075000000003</v>
      </c>
    </row>
    <row r="58" spans="1:47" ht="15" x14ac:dyDescent="0.2">
      <c r="D58" s="61">
        <v>4</v>
      </c>
      <c r="E58" s="586"/>
      <c r="F58" s="377"/>
      <c r="L58" s="61">
        <v>4</v>
      </c>
      <c r="M58" s="1218"/>
      <c r="N58" s="1219"/>
      <c r="O58" s="305"/>
      <c r="P58" s="386"/>
      <c r="Q58" s="386"/>
      <c r="R58" s="386"/>
      <c r="S58" s="387"/>
      <c r="T58"/>
      <c r="U58" s="498"/>
      <c r="V58" s="707"/>
      <c r="W58" s="41">
        <v>4</v>
      </c>
      <c r="X58" s="310" t="str">
        <f t="shared" si="3"/>
        <v xml:space="preserve">Front Door Panels </v>
      </c>
      <c r="Y58" s="53">
        <f ca="1">'Pricing and calculations'!Q10</f>
        <v>75.935999999999993</v>
      </c>
      <c r="Z58" s="54">
        <f ca="1">'Pricing and calculations'!U10</f>
        <v>47.459999999999994</v>
      </c>
      <c r="AA58" s="55">
        <f>'Pricing and calculations'!V10</f>
        <v>1</v>
      </c>
      <c r="AB58" s="56">
        <f ca="1">'Pricing and calculations'!W10</f>
        <v>47.459999999999994</v>
      </c>
    </row>
    <row r="59" spans="1:47" ht="15" x14ac:dyDescent="0.2">
      <c r="D59" s="220">
        <v>5</v>
      </c>
      <c r="E59" s="588"/>
      <c r="F59" s="378"/>
      <c r="L59" s="220">
        <v>5</v>
      </c>
      <c r="M59" s="1222"/>
      <c r="N59" s="1223"/>
      <c r="O59" s="307"/>
      <c r="P59" s="390"/>
      <c r="Q59" s="390"/>
      <c r="R59" s="680"/>
      <c r="S59" s="391"/>
      <c r="T59"/>
      <c r="U59" s="498"/>
      <c r="V59" s="707"/>
      <c r="W59" s="222">
        <v>5</v>
      </c>
      <c r="X59" s="312" t="str">
        <f t="shared" si="3"/>
        <v xml:space="preserve">Front Door Panels </v>
      </c>
      <c r="Y59" s="223">
        <f ca="1">'Pricing and calculations'!Q11</f>
        <v>75.935999999999993</v>
      </c>
      <c r="Z59" s="224">
        <f ca="1">'Pricing and calculations'!U11</f>
        <v>47.459999999999994</v>
      </c>
      <c r="AA59" s="225">
        <f>'Pricing and calculations'!V11</f>
        <v>1</v>
      </c>
      <c r="AB59" s="226">
        <f ca="1">'Pricing and calculations'!W11</f>
        <v>47.459999999999994</v>
      </c>
    </row>
    <row r="60" spans="1:47" ht="16.5" customHeight="1" x14ac:dyDescent="0.2">
      <c r="D60" s="61">
        <v>6</v>
      </c>
      <c r="E60" s="586"/>
      <c r="F60" s="377"/>
      <c r="L60" s="61">
        <v>6</v>
      </c>
      <c r="M60" s="1218"/>
      <c r="N60" s="1219"/>
      <c r="O60" s="305"/>
      <c r="P60" s="386"/>
      <c r="Q60" s="386"/>
      <c r="R60" s="386"/>
      <c r="S60" s="387"/>
      <c r="T60"/>
      <c r="U60" s="498"/>
      <c r="V60" s="707"/>
      <c r="W60" s="41">
        <v>6</v>
      </c>
      <c r="X60" s="310" t="str">
        <f t="shared" si="3"/>
        <v>Study</v>
      </c>
      <c r="Y60" s="53">
        <f ca="1">'Pricing and calculations'!Q12</f>
        <v>823.58399999999995</v>
      </c>
      <c r="Z60" s="54">
        <f ca="1">'Pricing and calculations'!U12</f>
        <v>514.74</v>
      </c>
      <c r="AA60" s="55">
        <f>'Pricing and calculations'!V12</f>
        <v>1</v>
      </c>
      <c r="AB60" s="56">
        <f ca="1">'Pricing and calculations'!W12</f>
        <v>514.74</v>
      </c>
    </row>
    <row r="61" spans="1:47" ht="15" x14ac:dyDescent="0.2">
      <c r="D61" s="30">
        <v>7</v>
      </c>
      <c r="E61" s="587"/>
      <c r="F61" s="381"/>
      <c r="I61" s="746" t="s">
        <v>265</v>
      </c>
      <c r="L61" s="30">
        <v>7</v>
      </c>
      <c r="M61" s="1220"/>
      <c r="N61" s="1221"/>
      <c r="O61" s="306"/>
      <c r="P61" s="388"/>
      <c r="Q61" s="388"/>
      <c r="R61" s="388"/>
      <c r="S61" s="389"/>
      <c r="T61"/>
      <c r="U61" s="498"/>
      <c r="V61" s="707"/>
      <c r="W61" s="22">
        <v>7</v>
      </c>
      <c r="X61" s="311" t="str">
        <f t="shared" si="3"/>
        <v>Study</v>
      </c>
      <c r="Y61" s="57">
        <f ca="1">'Pricing and calculations'!Q13</f>
        <v>1116.4800000000002</v>
      </c>
      <c r="Z61" s="58">
        <f ca="1">'Pricing and calculations'!U13</f>
        <v>697.80000000000018</v>
      </c>
      <c r="AA61" s="59">
        <f>'Pricing and calculations'!V13</f>
        <v>1</v>
      </c>
      <c r="AB61" s="60">
        <f ca="1">'Pricing and calculations'!W13</f>
        <v>697.80000000000018</v>
      </c>
    </row>
    <row r="62" spans="1:47" customFormat="1" ht="15.95" customHeight="1" x14ac:dyDescent="0.2">
      <c r="A62" s="25"/>
      <c r="B62" s="26"/>
      <c r="C62" s="26"/>
      <c r="D62" s="61">
        <v>8</v>
      </c>
      <c r="E62" s="586"/>
      <c r="F62" s="377"/>
      <c r="G62" s="24"/>
      <c r="H62" s="23"/>
      <c r="I62" s="745"/>
      <c r="J62" s="23"/>
      <c r="K62" s="1"/>
      <c r="L62" s="61">
        <v>8</v>
      </c>
      <c r="M62" s="1218"/>
      <c r="N62" s="1219"/>
      <c r="O62" s="305"/>
      <c r="P62" s="386"/>
      <c r="Q62" s="386"/>
      <c r="R62" s="386"/>
      <c r="S62" s="387"/>
      <c r="U62" s="498"/>
      <c r="V62" s="707"/>
      <c r="W62" s="41">
        <v>8</v>
      </c>
      <c r="X62" s="310" t="str">
        <f t="shared" si="3"/>
        <v xml:space="preserve">Living Room </v>
      </c>
      <c r="Y62" s="53">
        <f ca="1">'Pricing and calculations'!Q14</f>
        <v>514.59408000000008</v>
      </c>
      <c r="Z62" s="54">
        <f ca="1">'Pricing and calculations'!U14</f>
        <v>321.62130000000002</v>
      </c>
      <c r="AA62" s="55">
        <f>'Pricing and calculations'!V14</f>
        <v>1</v>
      </c>
      <c r="AB62" s="56">
        <f ca="1">'Pricing and calculations'!W14</f>
        <v>321.62130000000002</v>
      </c>
      <c r="AC62" s="15"/>
      <c r="AD62" s="15"/>
      <c r="AE62" s="15"/>
      <c r="AF62" s="15"/>
      <c r="AG62" s="15"/>
    </row>
    <row r="63" spans="1:47" customFormat="1" ht="15.95" customHeight="1" x14ac:dyDescent="0.2">
      <c r="A63" s="27"/>
      <c r="B63" s="23"/>
      <c r="C63" s="24"/>
      <c r="D63" s="220">
        <v>9</v>
      </c>
      <c r="E63" s="588"/>
      <c r="F63" s="378"/>
      <c r="G63" s="24"/>
      <c r="H63" s="23"/>
      <c r="I63" s="745"/>
      <c r="J63" s="23"/>
      <c r="K63" s="23"/>
      <c r="L63" s="220">
        <v>9</v>
      </c>
      <c r="M63" s="1222"/>
      <c r="N63" s="1223"/>
      <c r="O63" s="307"/>
      <c r="P63" s="390"/>
      <c r="Q63" s="390"/>
      <c r="R63" s="680"/>
      <c r="S63" s="391"/>
      <c r="U63" s="498"/>
      <c r="V63" s="707"/>
      <c r="W63" s="222">
        <v>9</v>
      </c>
      <c r="X63" s="312" t="str">
        <f t="shared" si="3"/>
        <v>Utility</v>
      </c>
      <c r="Y63" s="223">
        <f ca="1">'Pricing and calculations'!Q15</f>
        <v>218.06400000000002</v>
      </c>
      <c r="Z63" s="224">
        <f ca="1">'Pricing and calculations'!U15</f>
        <v>136.29000000000002</v>
      </c>
      <c r="AA63" s="225">
        <f>'Pricing and calculations'!V15</f>
        <v>1</v>
      </c>
      <c r="AB63" s="226">
        <f ca="1">'Pricing and calculations'!W15</f>
        <v>136.29000000000002</v>
      </c>
      <c r="AC63" s="15"/>
      <c r="AD63" s="15"/>
      <c r="AE63" s="15"/>
      <c r="AF63" s="15"/>
      <c r="AG63" s="15"/>
      <c r="AH63" s="15"/>
      <c r="AI63" s="15"/>
    </row>
    <row r="64" spans="1:47" ht="15.95" customHeight="1" x14ac:dyDescent="0.2">
      <c r="A64" s="28"/>
      <c r="B64" s="29"/>
      <c r="C64" s="29"/>
      <c r="D64" s="61">
        <v>10</v>
      </c>
      <c r="E64" s="586"/>
      <c r="F64" s="377"/>
      <c r="G64" s="29"/>
      <c r="H64" s="29"/>
      <c r="I64" s="29"/>
      <c r="J64" s="29"/>
      <c r="K64" s="29"/>
      <c r="L64" s="61">
        <v>10</v>
      </c>
      <c r="M64" s="1218"/>
      <c r="N64" s="1219"/>
      <c r="O64" s="305"/>
      <c r="P64" s="386"/>
      <c r="Q64" s="386"/>
      <c r="R64" s="386"/>
      <c r="S64" s="387"/>
      <c r="T64"/>
      <c r="U64" s="498"/>
      <c r="V64" s="707"/>
      <c r="W64" s="41">
        <v>10</v>
      </c>
      <c r="X64" s="310" t="str">
        <f t="shared" si="3"/>
        <v xml:space="preserve"> </v>
      </c>
      <c r="Y64" s="53" t="str">
        <f>'Pricing and calculations'!Q16</f>
        <v/>
      </c>
      <c r="Z64" s="54" t="str">
        <f>'Pricing and calculations'!U16</f>
        <v/>
      </c>
      <c r="AA64" s="55">
        <f>'Pricing and calculations'!V16</f>
        <v>0</v>
      </c>
      <c r="AB64" s="56">
        <f>'Pricing and calculations'!W16</f>
        <v>0</v>
      </c>
      <c r="AC64" s="94"/>
      <c r="AD64" s="16"/>
      <c r="AE64" s="16"/>
      <c r="AF64" s="16"/>
      <c r="AG64" s="16"/>
      <c r="AH64" s="16"/>
      <c r="AI64" s="16"/>
      <c r="AJ64" s="16"/>
    </row>
    <row r="65" spans="1:36" ht="15" x14ac:dyDescent="0.2">
      <c r="A65" s="21"/>
      <c r="D65" s="30">
        <v>11</v>
      </c>
      <c r="E65" s="587"/>
      <c r="F65" s="381"/>
      <c r="L65" s="30">
        <v>11</v>
      </c>
      <c r="M65" s="1220"/>
      <c r="N65" s="1221"/>
      <c r="O65" s="306"/>
      <c r="P65" s="388"/>
      <c r="Q65" s="388"/>
      <c r="R65" s="388"/>
      <c r="S65" s="389"/>
      <c r="T65"/>
      <c r="U65" s="498"/>
      <c r="V65" s="707"/>
      <c r="W65" s="22">
        <v>11</v>
      </c>
      <c r="X65" s="311" t="str">
        <f t="shared" si="3"/>
        <v xml:space="preserve"> </v>
      </c>
      <c r="Y65" s="57" t="str">
        <f>'Pricing and calculations'!Q17</f>
        <v/>
      </c>
      <c r="Z65" s="58" t="str">
        <f>'Pricing and calculations'!U17</f>
        <v/>
      </c>
      <c r="AA65" s="59">
        <f>'Pricing and calculations'!V17</f>
        <v>0</v>
      </c>
      <c r="AB65" s="60">
        <f>'Pricing and calculations'!W17</f>
        <v>0</v>
      </c>
      <c r="AC65" s="94"/>
      <c r="AD65" s="16"/>
      <c r="AE65" s="16"/>
      <c r="AF65" s="16"/>
      <c r="AG65" s="16"/>
      <c r="AH65" s="16"/>
      <c r="AI65" s="16"/>
      <c r="AJ65" s="16"/>
    </row>
    <row r="66" spans="1:36" ht="15" x14ac:dyDescent="0.2">
      <c r="D66" s="61">
        <v>12</v>
      </c>
      <c r="E66" s="586"/>
      <c r="F66" s="377"/>
      <c r="L66" s="61">
        <v>12</v>
      </c>
      <c r="M66" s="1218"/>
      <c r="N66" s="1219"/>
      <c r="O66" s="305"/>
      <c r="P66" s="386"/>
      <c r="Q66" s="386"/>
      <c r="R66" s="386"/>
      <c r="S66" s="387"/>
      <c r="T66"/>
      <c r="U66" s="498"/>
      <c r="V66" s="708"/>
      <c r="W66" s="230">
        <v>12</v>
      </c>
      <c r="X66" s="310" t="str">
        <f t="shared" si="3"/>
        <v xml:space="preserve"> </v>
      </c>
      <c r="Y66" s="53" t="str">
        <f>'Pricing and calculations'!Q18</f>
        <v/>
      </c>
      <c r="Z66" s="54" t="str">
        <f>'Pricing and calculations'!U18</f>
        <v/>
      </c>
      <c r="AA66" s="55">
        <f>'Pricing and calculations'!V18</f>
        <v>0</v>
      </c>
      <c r="AB66" s="56">
        <f>'Pricing and calculations'!W18</f>
        <v>0</v>
      </c>
      <c r="AC66" s="94"/>
      <c r="AD66" s="16"/>
      <c r="AE66" s="16"/>
      <c r="AF66" s="16"/>
      <c r="AG66" s="16"/>
      <c r="AH66" s="16"/>
      <c r="AI66" s="16"/>
      <c r="AJ66" s="16"/>
    </row>
    <row r="67" spans="1:36" ht="15" x14ac:dyDescent="0.2">
      <c r="D67" s="220">
        <v>13</v>
      </c>
      <c r="E67" s="589"/>
      <c r="F67" s="378"/>
      <c r="L67" s="220">
        <v>13</v>
      </c>
      <c r="M67" s="1222"/>
      <c r="N67" s="1223"/>
      <c r="O67" s="307"/>
      <c r="P67" s="390"/>
      <c r="Q67" s="390"/>
      <c r="R67" s="680"/>
      <c r="S67" s="391"/>
      <c r="T67"/>
      <c r="U67" s="498"/>
      <c r="V67" s="707"/>
      <c r="W67" s="222">
        <v>13</v>
      </c>
      <c r="X67" s="312" t="str">
        <f t="shared" si="3"/>
        <v xml:space="preserve"> </v>
      </c>
      <c r="Y67" s="223" t="str">
        <f>'Pricing and calculations'!Q19</f>
        <v/>
      </c>
      <c r="Z67" s="224" t="str">
        <f>'Pricing and calculations'!U19</f>
        <v/>
      </c>
      <c r="AA67" s="225">
        <f>'Pricing and calculations'!V19</f>
        <v>0</v>
      </c>
      <c r="AB67" s="226">
        <f>'Pricing and calculations'!W19</f>
        <v>0</v>
      </c>
      <c r="AC67" s="94"/>
      <c r="AD67" s="16"/>
      <c r="AE67" s="16"/>
      <c r="AF67" s="16"/>
      <c r="AG67" s="16"/>
      <c r="AH67" s="16"/>
      <c r="AI67" s="16"/>
      <c r="AJ67" s="16"/>
    </row>
    <row r="68" spans="1:36" ht="15" x14ac:dyDescent="0.2">
      <c r="D68" s="61">
        <v>14</v>
      </c>
      <c r="E68" s="586"/>
      <c r="F68" s="377"/>
      <c r="L68" s="61">
        <v>14</v>
      </c>
      <c r="M68" s="1218"/>
      <c r="N68" s="1219"/>
      <c r="O68" s="305"/>
      <c r="P68" s="386"/>
      <c r="Q68" s="386"/>
      <c r="R68" s="386"/>
      <c r="S68" s="387"/>
      <c r="T68"/>
      <c r="U68" s="498"/>
      <c r="V68" s="707"/>
      <c r="W68" s="41">
        <v>14</v>
      </c>
      <c r="X68" s="310" t="str">
        <f t="shared" si="3"/>
        <v xml:space="preserve"> </v>
      </c>
      <c r="Y68" s="53" t="str">
        <f>'Pricing and calculations'!Q20</f>
        <v/>
      </c>
      <c r="Z68" s="54" t="str">
        <f>'Pricing and calculations'!U20</f>
        <v/>
      </c>
      <c r="AA68" s="55">
        <f>'Pricing and calculations'!V20</f>
        <v>0</v>
      </c>
      <c r="AB68" s="56">
        <f>'Pricing and calculations'!W20</f>
        <v>0</v>
      </c>
    </row>
    <row r="69" spans="1:36" ht="15" x14ac:dyDescent="0.2">
      <c r="D69" s="30">
        <v>15</v>
      </c>
      <c r="E69" s="587"/>
      <c r="F69" s="381"/>
      <c r="L69" s="30">
        <v>15</v>
      </c>
      <c r="M69" s="1220"/>
      <c r="N69" s="1221"/>
      <c r="O69" s="306"/>
      <c r="P69" s="388"/>
      <c r="Q69" s="388"/>
      <c r="R69" s="388"/>
      <c r="S69" s="389"/>
      <c r="T69"/>
      <c r="U69" s="498"/>
      <c r="V69" s="707"/>
      <c r="W69" s="22">
        <v>15</v>
      </c>
      <c r="X69" s="311" t="str">
        <f t="shared" si="3"/>
        <v xml:space="preserve"> </v>
      </c>
      <c r="Y69" s="57" t="str">
        <f>'Pricing and calculations'!Q21</f>
        <v/>
      </c>
      <c r="Z69" s="58" t="str">
        <f>'Pricing and calculations'!U21</f>
        <v/>
      </c>
      <c r="AA69" s="59">
        <f>'Pricing and calculations'!V21</f>
        <v>0</v>
      </c>
      <c r="AB69" s="60">
        <f>'Pricing and calculations'!W21</f>
        <v>0</v>
      </c>
    </row>
    <row r="70" spans="1:36" ht="15" x14ac:dyDescent="0.2">
      <c r="D70" s="61">
        <v>16</v>
      </c>
      <c r="E70" s="586"/>
      <c r="F70" s="377"/>
      <c r="L70" s="61">
        <v>16</v>
      </c>
      <c r="M70" s="1218"/>
      <c r="N70" s="1219"/>
      <c r="O70" s="305"/>
      <c r="P70" s="386"/>
      <c r="Q70" s="386"/>
      <c r="R70" s="386"/>
      <c r="S70" s="387"/>
      <c r="T70"/>
      <c r="U70" s="498"/>
      <c r="V70" s="708"/>
      <c r="W70" s="230">
        <v>16</v>
      </c>
      <c r="X70" s="310" t="str">
        <f t="shared" si="3"/>
        <v xml:space="preserve"> </v>
      </c>
      <c r="Y70" s="53" t="str">
        <f>'Pricing and calculations'!Q22</f>
        <v/>
      </c>
      <c r="Z70" s="54" t="str">
        <f>'Pricing and calculations'!U22</f>
        <v/>
      </c>
      <c r="AA70" s="55">
        <f>'Pricing and calculations'!V22</f>
        <v>0</v>
      </c>
      <c r="AB70" s="56">
        <f>'Pricing and calculations'!W22</f>
        <v>0</v>
      </c>
    </row>
    <row r="71" spans="1:36" ht="15" x14ac:dyDescent="0.2">
      <c r="D71" s="220">
        <v>17</v>
      </c>
      <c r="E71" s="589"/>
      <c r="F71" s="378"/>
      <c r="L71" s="220">
        <v>17</v>
      </c>
      <c r="M71" s="1222"/>
      <c r="N71" s="1223"/>
      <c r="O71" s="307"/>
      <c r="P71" s="390"/>
      <c r="Q71" s="390"/>
      <c r="R71" s="390"/>
      <c r="S71" s="391"/>
      <c r="T71"/>
      <c r="U71" s="498"/>
      <c r="V71" s="707"/>
      <c r="W71" s="222">
        <v>17</v>
      </c>
      <c r="X71" s="312" t="str">
        <f t="shared" si="3"/>
        <v xml:space="preserve"> </v>
      </c>
      <c r="Y71" s="223" t="str">
        <f>'Pricing and calculations'!Q23</f>
        <v/>
      </c>
      <c r="Z71" s="224" t="str">
        <f>'Pricing and calculations'!U23</f>
        <v/>
      </c>
      <c r="AA71" s="225">
        <f>'Pricing and calculations'!V23</f>
        <v>0</v>
      </c>
      <c r="AB71" s="226">
        <f>'Pricing and calculations'!W23</f>
        <v>0</v>
      </c>
    </row>
    <row r="72" spans="1:36" ht="15" x14ac:dyDescent="0.2">
      <c r="D72" s="61">
        <v>18</v>
      </c>
      <c r="E72" s="586"/>
      <c r="F72" s="377"/>
      <c r="L72" s="61">
        <v>18</v>
      </c>
      <c r="M72" s="1218"/>
      <c r="N72" s="1219"/>
      <c r="O72" s="305"/>
      <c r="P72" s="386"/>
      <c r="Q72" s="386"/>
      <c r="R72" s="386"/>
      <c r="S72" s="387"/>
      <c r="T72"/>
      <c r="U72" s="498"/>
      <c r="V72" s="708"/>
      <c r="W72" s="230">
        <v>18</v>
      </c>
      <c r="X72" s="310" t="str">
        <f t="shared" si="3"/>
        <v xml:space="preserve"> </v>
      </c>
      <c r="Y72" s="53" t="str">
        <f>'Pricing and calculations'!Q24</f>
        <v/>
      </c>
      <c r="Z72" s="54" t="str">
        <f>'Pricing and calculations'!U24</f>
        <v/>
      </c>
      <c r="AA72" s="55">
        <f>'Pricing and calculations'!V24</f>
        <v>0</v>
      </c>
      <c r="AB72" s="56">
        <f>'Pricing and calculations'!W24</f>
        <v>0</v>
      </c>
    </row>
    <row r="73" spans="1:36" ht="15" x14ac:dyDescent="0.2">
      <c r="D73" s="30">
        <v>19</v>
      </c>
      <c r="E73" s="587"/>
      <c r="F73" s="381"/>
      <c r="L73" s="30">
        <v>19</v>
      </c>
      <c r="M73" s="1220"/>
      <c r="N73" s="1221"/>
      <c r="O73" s="306"/>
      <c r="P73" s="388"/>
      <c r="Q73" s="388"/>
      <c r="R73" s="388"/>
      <c r="S73" s="389"/>
      <c r="T73"/>
      <c r="U73" s="498"/>
      <c r="V73" s="707"/>
      <c r="W73" s="22">
        <v>19</v>
      </c>
      <c r="X73" s="311" t="str">
        <f t="shared" si="3"/>
        <v xml:space="preserve"> </v>
      </c>
      <c r="Y73" s="57" t="str">
        <f>'Pricing and calculations'!Q25</f>
        <v/>
      </c>
      <c r="Z73" s="58" t="str">
        <f>'Pricing and calculations'!U25</f>
        <v/>
      </c>
      <c r="AA73" s="59">
        <f>'Pricing and calculations'!V25</f>
        <v>0</v>
      </c>
      <c r="AB73" s="60">
        <f>'Pricing and calculations'!W25</f>
        <v>0</v>
      </c>
    </row>
    <row r="74" spans="1:36" ht="15.75" thickBot="1" x14ac:dyDescent="0.25">
      <c r="D74" s="233">
        <v>20</v>
      </c>
      <c r="E74" s="592"/>
      <c r="F74" s="379"/>
      <c r="L74" s="233">
        <v>20</v>
      </c>
      <c r="M74" s="1334"/>
      <c r="N74" s="1335"/>
      <c r="O74" s="308"/>
      <c r="P74" s="392"/>
      <c r="Q74" s="392"/>
      <c r="R74" s="392"/>
      <c r="S74" s="393"/>
      <c r="T74"/>
      <c r="U74" s="498"/>
      <c r="V74" s="708"/>
      <c r="W74" s="235">
        <v>20</v>
      </c>
      <c r="X74" s="313" t="str">
        <f t="shared" si="3"/>
        <v xml:space="preserve"> </v>
      </c>
      <c r="Y74" s="236" t="str">
        <f>'Pricing and calculations'!Q26</f>
        <v/>
      </c>
      <c r="Z74" s="237" t="str">
        <f>'Pricing and calculations'!U26</f>
        <v/>
      </c>
      <c r="AA74" s="238">
        <f>'Pricing and calculations'!V26</f>
        <v>0</v>
      </c>
      <c r="AB74" s="239">
        <f>'Pricing and calculations'!W26</f>
        <v>0</v>
      </c>
    </row>
    <row r="75" spans="1:36" ht="15" x14ac:dyDescent="0.25">
      <c r="A75" s="111" t="s">
        <v>60</v>
      </c>
      <c r="L75" s="683"/>
      <c r="M75" s="1212" t="str">
        <f>IF(Form_Type="Frame","Frame M³","Battens, Strips &amp; Build Outs M³")</f>
        <v>Battens, Strips &amp; Build Outs M³</v>
      </c>
      <c r="N75" s="1213"/>
      <c r="O75" s="1213"/>
      <c r="P75" s="1213"/>
      <c r="Q75" s="1214"/>
      <c r="R75" s="1201">
        <f>TotCuM</f>
        <v>2.2025E-3</v>
      </c>
      <c r="S75" s="107"/>
      <c r="T75" s="107"/>
      <c r="U75" s="107"/>
      <c r="V75" s="107"/>
      <c r="W75" s="107"/>
      <c r="X75" s="107"/>
      <c r="Y75" s="108"/>
      <c r="Z75" s="108"/>
      <c r="AA75" s="108"/>
      <c r="AB75" s="108"/>
    </row>
    <row r="76" spans="1:36" ht="15.95" customHeight="1" thickBot="1" x14ac:dyDescent="0.25">
      <c r="A76" s="112" t="s">
        <v>79</v>
      </c>
      <c r="B76" s="109"/>
      <c r="C76" s="107"/>
      <c r="D76" s="107"/>
      <c r="E76" s="107"/>
      <c r="F76" s="107"/>
      <c r="G76" s="107"/>
      <c r="H76" s="107"/>
      <c r="I76" s="107"/>
      <c r="J76" s="107"/>
      <c r="K76" s="107"/>
      <c r="L76" s="683"/>
      <c r="M76" s="1215"/>
      <c r="N76" s="1216"/>
      <c r="O76" s="1216"/>
      <c r="P76" s="1216"/>
      <c r="Q76" s="1217"/>
      <c r="R76" s="1202"/>
      <c r="S76" s="107"/>
      <c r="T76" s="107"/>
      <c r="U76" s="108"/>
      <c r="V76" s="108"/>
      <c r="W76" s="108"/>
      <c r="X76" s="319"/>
      <c r="Y76" s="108"/>
      <c r="Z76" s="350"/>
      <c r="AA76" s="172"/>
      <c r="AB76" s="382"/>
      <c r="AC76" s="16"/>
      <c r="AD76" s="16"/>
      <c r="AE76" s="16"/>
      <c r="AF76" s="16"/>
      <c r="AG76" s="16"/>
    </row>
    <row r="77" spans="1:36" ht="15.95" customHeight="1" x14ac:dyDescent="0.25">
      <c r="A77" s="113" t="s">
        <v>61</v>
      </c>
      <c r="B77" s="109"/>
      <c r="C77" s="107"/>
      <c r="D77" s="107"/>
      <c r="E77" s="107"/>
      <c r="F77" s="107"/>
      <c r="G77" s="107"/>
      <c r="H77" s="107"/>
      <c r="I77" s="107"/>
      <c r="J77" s="107"/>
      <c r="K77" s="107"/>
      <c r="L77" s="107"/>
      <c r="M77" s="107"/>
      <c r="N77" s="107"/>
      <c r="O77" s="687"/>
      <c r="P77" s="687"/>
      <c r="Q77" s="687"/>
      <c r="R77" s="688"/>
      <c r="S77" s="740"/>
      <c r="T77" s="741"/>
      <c r="U77" s="741"/>
      <c r="V77" s="741"/>
      <c r="W77" s="742"/>
      <c r="X77" s="743"/>
      <c r="Y77" s="741"/>
      <c r="Z77" s="744" t="s">
        <v>419</v>
      </c>
      <c r="AA77" s="1329">
        <f>'Pricing and calculations'!P53</f>
        <v>0</v>
      </c>
      <c r="AB77" s="1330"/>
      <c r="AC77" s="16"/>
      <c r="AD77" s="16"/>
      <c r="AE77" s="16"/>
      <c r="AF77" s="16"/>
      <c r="AG77" s="16"/>
    </row>
    <row r="78" spans="1:36" ht="15.95" customHeight="1" thickBot="1" x14ac:dyDescent="0.25">
      <c r="A78" s="113" t="s">
        <v>27</v>
      </c>
      <c r="B78" s="114"/>
      <c r="C78" s="110"/>
      <c r="D78" s="110"/>
      <c r="E78" s="110"/>
      <c r="F78" s="110"/>
      <c r="G78" s="110"/>
      <c r="H78" s="110"/>
      <c r="I78" s="110"/>
      <c r="J78" s="110"/>
      <c r="K78" s="110"/>
      <c r="L78" s="110"/>
      <c r="M78" s="110"/>
      <c r="N78" s="110"/>
      <c r="O78" s="689"/>
      <c r="P78" s="689"/>
      <c r="Q78" s="689"/>
      <c r="R78" s="690"/>
      <c r="S78" s="193"/>
      <c r="T78" s="194"/>
      <c r="U78" s="194"/>
      <c r="V78" s="194"/>
      <c r="W78" s="194"/>
      <c r="X78" s="194"/>
      <c r="Y78" s="194"/>
      <c r="Z78" s="195" t="s">
        <v>293</v>
      </c>
      <c r="AA78" s="1177">
        <f>'Pricing and calculations'!P54</f>
        <v>15.44</v>
      </c>
      <c r="AB78" s="1178"/>
      <c r="AC78" s="16"/>
      <c r="AD78" s="16"/>
      <c r="AE78" s="16"/>
      <c r="AF78" s="16"/>
      <c r="AG78" s="16"/>
    </row>
    <row r="79" spans="1:36" ht="15.95" customHeight="1" x14ac:dyDescent="0.25">
      <c r="A79" s="1174" t="s">
        <v>52</v>
      </c>
      <c r="B79" s="1266"/>
      <c r="C79" s="1267"/>
      <c r="D79" s="1267"/>
      <c r="E79" s="1267"/>
      <c r="F79" s="1267"/>
      <c r="G79" s="1267"/>
      <c r="H79" s="1267"/>
      <c r="I79" s="1267"/>
      <c r="J79" s="1267"/>
      <c r="K79" s="1267"/>
      <c r="L79" s="1267"/>
      <c r="M79" s="1171" t="str">
        <f>IF(RIGHT(DeliveryChoice,2)="s)","Ship with:","")</f>
        <v/>
      </c>
      <c r="N79" s="1172"/>
      <c r="O79" s="1173"/>
      <c r="P79" s="1258" t="str">
        <f>IF(DeliveryAddressChoice=2,"Alternative Delivery Address","")</f>
        <v/>
      </c>
      <c r="Q79" s="1258"/>
      <c r="R79" s="1259"/>
      <c r="S79" s="193"/>
      <c r="T79" s="194"/>
      <c r="U79" s="194"/>
      <c r="V79" s="194"/>
      <c r="W79" s="347" t="s">
        <v>263</v>
      </c>
      <c r="X79" s="344" t="s">
        <v>119</v>
      </c>
      <c r="Y79" s="194"/>
      <c r="Z79" s="195" t="s">
        <v>235</v>
      </c>
      <c r="AA79" s="1177">
        <f>'Pricing and calculations'!P55</f>
        <v>0</v>
      </c>
      <c r="AB79" s="1178"/>
      <c r="AC79" s="16"/>
      <c r="AD79" s="16"/>
      <c r="AE79" s="16"/>
      <c r="AF79" s="16"/>
      <c r="AG79" s="16"/>
    </row>
    <row r="80" spans="1:36" ht="15.95" customHeight="1" x14ac:dyDescent="0.2">
      <c r="A80" s="1175"/>
      <c r="B80" s="1268"/>
      <c r="C80" s="1269"/>
      <c r="D80" s="1269"/>
      <c r="E80" s="1269"/>
      <c r="F80" s="1269"/>
      <c r="G80" s="1269"/>
      <c r="H80" s="1269"/>
      <c r="I80" s="1269"/>
      <c r="J80" s="1269"/>
      <c r="K80" s="1269"/>
      <c r="L80" s="1269"/>
      <c r="M80" s="1203"/>
      <c r="N80" s="1204"/>
      <c r="O80" s="1205"/>
      <c r="P80" s="1260"/>
      <c r="Q80" s="1260"/>
      <c r="R80" s="1261"/>
      <c r="S80" s="1256" t="s">
        <v>874</v>
      </c>
      <c r="T80" s="1257"/>
      <c r="U80" s="1257"/>
      <c r="V80" s="1257"/>
      <c r="W80" s="1257"/>
      <c r="X80" s="1257"/>
      <c r="Y80" s="194"/>
      <c r="Z80" s="195" t="s">
        <v>59</v>
      </c>
      <c r="AA80" s="1177">
        <f>'Pricing and calculations'!P56</f>
        <v>0</v>
      </c>
      <c r="AB80" s="1178"/>
      <c r="AC80" s="16"/>
      <c r="AD80" s="16"/>
      <c r="AE80" s="16"/>
      <c r="AF80" s="16"/>
      <c r="AG80" s="16"/>
    </row>
    <row r="81" spans="1:33" ht="15.95" customHeight="1" x14ac:dyDescent="0.2">
      <c r="A81" s="1175"/>
      <c r="B81" s="1268"/>
      <c r="C81" s="1269"/>
      <c r="D81" s="1269"/>
      <c r="E81" s="1269"/>
      <c r="F81" s="1269"/>
      <c r="G81" s="1269"/>
      <c r="H81" s="1269"/>
      <c r="I81" s="1269"/>
      <c r="J81" s="1269"/>
      <c r="K81" s="1269"/>
      <c r="L81" s="1269"/>
      <c r="M81" s="1203"/>
      <c r="N81" s="1204"/>
      <c r="O81" s="1205"/>
      <c r="P81" s="1260"/>
      <c r="Q81" s="1260"/>
      <c r="R81" s="1261"/>
      <c r="S81" s="1256"/>
      <c r="T81" s="1257"/>
      <c r="U81" s="1257"/>
      <c r="V81" s="1257"/>
      <c r="W81" s="1257"/>
      <c r="X81" s="1257"/>
      <c r="Y81" s="194"/>
      <c r="Z81" s="195" t="s">
        <v>12</v>
      </c>
      <c r="AA81" s="1181">
        <f>'Pricing and calculations'!P57</f>
        <v>2261.7800000000002</v>
      </c>
      <c r="AB81" s="1182"/>
      <c r="AC81" s="16"/>
      <c r="AD81" s="16"/>
      <c r="AE81" s="16"/>
      <c r="AF81" s="16"/>
      <c r="AG81" s="16"/>
    </row>
    <row r="82" spans="1:33" s="3" customFormat="1" ht="15.95" customHeight="1" x14ac:dyDescent="0.2">
      <c r="A82" s="1175"/>
      <c r="B82" s="1268"/>
      <c r="C82" s="1269"/>
      <c r="D82" s="1269"/>
      <c r="E82" s="1269"/>
      <c r="F82" s="1269"/>
      <c r="G82" s="1269"/>
      <c r="H82" s="1269"/>
      <c r="I82" s="1269"/>
      <c r="J82" s="1269"/>
      <c r="K82" s="1269"/>
      <c r="L82" s="1269"/>
      <c r="M82" s="1203"/>
      <c r="N82" s="1204"/>
      <c r="O82" s="1205"/>
      <c r="P82" s="1260"/>
      <c r="Q82" s="1260"/>
      <c r="R82" s="1261"/>
      <c r="S82" s="1256"/>
      <c r="T82" s="1257"/>
      <c r="U82" s="1257"/>
      <c r="V82" s="1257"/>
      <c r="W82" s="1257"/>
      <c r="X82" s="1257"/>
      <c r="Y82" s="194"/>
      <c r="Z82" s="195" t="s">
        <v>858</v>
      </c>
      <c r="AA82" s="1181">
        <f>'Pricing and calculations'!P58</f>
        <v>0</v>
      </c>
      <c r="AB82" s="1182"/>
      <c r="AC82" s="16"/>
      <c r="AD82" s="16"/>
      <c r="AE82" s="16"/>
      <c r="AF82" s="16"/>
      <c r="AG82" s="16"/>
    </row>
    <row r="83" spans="1:33" ht="15.95" customHeight="1" x14ac:dyDescent="0.25">
      <c r="A83" s="1175"/>
      <c r="B83" s="1268"/>
      <c r="C83" s="1269"/>
      <c r="D83" s="1269"/>
      <c r="E83" s="1269"/>
      <c r="F83" s="1269"/>
      <c r="G83" s="1269"/>
      <c r="H83" s="1269"/>
      <c r="I83" s="1269"/>
      <c r="J83" s="1269"/>
      <c r="K83" s="1269"/>
      <c r="L83" s="1269"/>
      <c r="M83" s="1206"/>
      <c r="N83" s="1207"/>
      <c r="O83" s="1205"/>
      <c r="P83" s="1260"/>
      <c r="Q83" s="1260"/>
      <c r="R83" s="1261"/>
      <c r="S83" s="1256"/>
      <c r="T83" s="1257"/>
      <c r="U83" s="1257"/>
      <c r="V83" s="1257"/>
      <c r="W83" s="1257"/>
      <c r="X83" s="1257"/>
      <c r="Y83" s="194"/>
      <c r="Z83" s="195" t="s">
        <v>11</v>
      </c>
      <c r="AA83" s="1179">
        <f>'Pricing and calculations'!P59</f>
        <v>2261.7800000000002</v>
      </c>
      <c r="AB83" s="1180"/>
      <c r="AC83" s="16"/>
      <c r="AD83" s="16"/>
      <c r="AE83" s="16"/>
      <c r="AF83" s="16"/>
      <c r="AG83" s="16"/>
    </row>
    <row r="84" spans="1:33" ht="15.95" customHeight="1" thickBot="1" x14ac:dyDescent="0.25">
      <c r="A84" s="1176"/>
      <c r="B84" s="1270"/>
      <c r="C84" s="1271"/>
      <c r="D84" s="1271"/>
      <c r="E84" s="1271"/>
      <c r="F84" s="1271"/>
      <c r="G84" s="1271"/>
      <c r="H84" s="1271"/>
      <c r="I84" s="1271"/>
      <c r="J84" s="1271"/>
      <c r="K84" s="1271"/>
      <c r="L84" s="1271"/>
      <c r="M84" s="1198"/>
      <c r="N84" s="1199"/>
      <c r="O84" s="1200"/>
      <c r="P84" s="1262"/>
      <c r="Q84" s="1262"/>
      <c r="R84" s="1263"/>
      <c r="S84" s="196"/>
      <c r="T84" s="197"/>
      <c r="U84" s="197"/>
      <c r="V84" s="197"/>
      <c r="W84" s="394" t="s">
        <v>295</v>
      </c>
      <c r="X84" s="197"/>
      <c r="Y84" s="197"/>
      <c r="Z84" s="197"/>
      <c r="AA84" s="198"/>
      <c r="AB84" s="199"/>
      <c r="AC84" s="16"/>
      <c r="AD84" s="16"/>
      <c r="AE84" s="16"/>
      <c r="AF84" s="16"/>
      <c r="AG84" s="16"/>
    </row>
  </sheetData>
  <sheetProtection password="F46C" sheet="1" objects="1" scenarios="1"/>
  <customSheetViews>
    <customSheetView guid="{554C7132-FEB4-4016-AC1F-AA27B41C0DFC}" scale="80" showGridLines="0" zeroValues="0" fitToPage="1" topLeftCell="C1">
      <selection activeCell="C1" sqref="C1"/>
      <pageMargins left="0.15748031496062992" right="0.15748031496062992" top="0.62992125984251968" bottom="0.19685039370078741" header="0.27559055118110237" footer="0.15748031496062992"/>
      <printOptions horizontalCentered="1"/>
      <pageSetup paperSize="9" scale="56" orientation="landscape" horizontalDpi="300" verticalDpi="300" r:id="rId1"/>
      <headerFooter alignWithMargins="0">
        <oddHeader>&amp;L&amp;10
Date &amp;D&amp;C&amp;"Arial,Bold"&amp;18S:CRAFT Order Card&amp;R&amp;10
sales@s-craft.co.uk</oddHeader>
      </headerFooter>
    </customSheetView>
  </customSheetViews>
  <mergeCells count="243">
    <mergeCell ref="AA77:AB77"/>
    <mergeCell ref="AA78:AB78"/>
    <mergeCell ref="M66:N66"/>
    <mergeCell ref="M67:N67"/>
    <mergeCell ref="M68:N68"/>
    <mergeCell ref="M69:N69"/>
    <mergeCell ref="M70:N70"/>
    <mergeCell ref="M71:N71"/>
    <mergeCell ref="M54:N54"/>
    <mergeCell ref="M55:N55"/>
    <mergeCell ref="M56:N56"/>
    <mergeCell ref="M57:N57"/>
    <mergeCell ref="M58:N58"/>
    <mergeCell ref="M59:N59"/>
    <mergeCell ref="M72:N72"/>
    <mergeCell ref="M73:N73"/>
    <mergeCell ref="M74:N74"/>
    <mergeCell ref="AD47:AE47"/>
    <mergeCell ref="AD48:AE48"/>
    <mergeCell ref="AD49:AE49"/>
    <mergeCell ref="AD50:AE50"/>
    <mergeCell ref="W27:X27"/>
    <mergeCell ref="AD41:AE41"/>
    <mergeCell ref="AD42:AE42"/>
    <mergeCell ref="AD43:AE43"/>
    <mergeCell ref="AD44:AE44"/>
    <mergeCell ref="AD45:AE45"/>
    <mergeCell ref="AD46:AE46"/>
    <mergeCell ref="AD35:AE35"/>
    <mergeCell ref="AD36:AE36"/>
    <mergeCell ref="AD37:AE37"/>
    <mergeCell ref="AD38:AE38"/>
    <mergeCell ref="AD39:AE39"/>
    <mergeCell ref="AD40:AE40"/>
    <mergeCell ref="AD30:AE30"/>
    <mergeCell ref="AD31:AE31"/>
    <mergeCell ref="AD32:AE32"/>
    <mergeCell ref="AD33:AE33"/>
    <mergeCell ref="AD34:AE34"/>
    <mergeCell ref="F39:G39"/>
    <mergeCell ref="F40:G40"/>
    <mergeCell ref="F41:G41"/>
    <mergeCell ref="F30:G30"/>
    <mergeCell ref="F31:G31"/>
    <mergeCell ref="M22:N22"/>
    <mergeCell ref="M23:N23"/>
    <mergeCell ref="M24:N24"/>
    <mergeCell ref="M25:N25"/>
    <mergeCell ref="M26:N26"/>
    <mergeCell ref="D45:E45"/>
    <mergeCell ref="D46:E46"/>
    <mergeCell ref="D47:E47"/>
    <mergeCell ref="D48:E48"/>
    <mergeCell ref="D49:E49"/>
    <mergeCell ref="F48:G48"/>
    <mergeCell ref="F49:G49"/>
    <mergeCell ref="F50:G50"/>
    <mergeCell ref="M6:N6"/>
    <mergeCell ref="M7:N7"/>
    <mergeCell ref="M8:N8"/>
    <mergeCell ref="M9:N9"/>
    <mergeCell ref="M10:N10"/>
    <mergeCell ref="M11:N11"/>
    <mergeCell ref="M12:N12"/>
    <mergeCell ref="F42:G42"/>
    <mergeCell ref="F43:G43"/>
    <mergeCell ref="F44:G44"/>
    <mergeCell ref="F45:G45"/>
    <mergeCell ref="F46:G46"/>
    <mergeCell ref="F47:G47"/>
    <mergeCell ref="F36:G36"/>
    <mergeCell ref="F37:G37"/>
    <mergeCell ref="F38:G38"/>
    <mergeCell ref="V22:W22"/>
    <mergeCell ref="V23:W23"/>
    <mergeCell ref="V24:W24"/>
    <mergeCell ref="S1:X1"/>
    <mergeCell ref="S3:X3"/>
    <mergeCell ref="Z7:AB7"/>
    <mergeCell ref="Z15:AB15"/>
    <mergeCell ref="Z14:AB14"/>
    <mergeCell ref="Z13:AB13"/>
    <mergeCell ref="Z10:AB10"/>
    <mergeCell ref="Y1:AB3"/>
    <mergeCell ref="V6:W6"/>
    <mergeCell ref="V7:W7"/>
    <mergeCell ref="M3:O3"/>
    <mergeCell ref="Z17:AB17"/>
    <mergeCell ref="Q21:R21"/>
    <mergeCell ref="Q8:R8"/>
    <mergeCell ref="Q9:R9"/>
    <mergeCell ref="AE16:AH16"/>
    <mergeCell ref="AE13:AH13"/>
    <mergeCell ref="AE7:AH7"/>
    <mergeCell ref="AE9:AH9"/>
    <mergeCell ref="M13:N13"/>
    <mergeCell ref="M14:N14"/>
    <mergeCell ref="M16:N16"/>
    <mergeCell ref="M17:N17"/>
    <mergeCell ref="M18:N18"/>
    <mergeCell ref="M19:N19"/>
    <mergeCell ref="M20:N20"/>
    <mergeCell ref="M21:N21"/>
    <mergeCell ref="AE26:AH26"/>
    <mergeCell ref="AE17:AH17"/>
    <mergeCell ref="AE25:AH25"/>
    <mergeCell ref="AE24:AH24"/>
    <mergeCell ref="AE20:AH20"/>
    <mergeCell ref="AC23:AD23"/>
    <mergeCell ref="Z20:AB20"/>
    <mergeCell ref="AC21:AD21"/>
    <mergeCell ref="AE22:AH22"/>
    <mergeCell ref="AC22:AD22"/>
    <mergeCell ref="AE18:AH18"/>
    <mergeCell ref="AE21:AH21"/>
    <mergeCell ref="AE23:AH23"/>
    <mergeCell ref="Z24:AB24"/>
    <mergeCell ref="AC20:AD20"/>
    <mergeCell ref="AC17:AD17"/>
    <mergeCell ref="AE19:AH19"/>
    <mergeCell ref="Z23:AB23"/>
    <mergeCell ref="Z21:AB21"/>
    <mergeCell ref="Z22:AB22"/>
    <mergeCell ref="Z19:AB19"/>
    <mergeCell ref="S80:X83"/>
    <mergeCell ref="P79:R79"/>
    <mergeCell ref="P80:R84"/>
    <mergeCell ref="E27:F27"/>
    <mergeCell ref="B79:L84"/>
    <mergeCell ref="D40:E40"/>
    <mergeCell ref="D41:E41"/>
    <mergeCell ref="D42:E42"/>
    <mergeCell ref="Z26:AB26"/>
    <mergeCell ref="Y53:AB53"/>
    <mergeCell ref="D50:E50"/>
    <mergeCell ref="D30:E30"/>
    <mergeCell ref="D31:E31"/>
    <mergeCell ref="D32:E32"/>
    <mergeCell ref="D33:E33"/>
    <mergeCell ref="D34:E34"/>
    <mergeCell ref="D35:E35"/>
    <mergeCell ref="D36:E36"/>
    <mergeCell ref="D43:E43"/>
    <mergeCell ref="D44:E44"/>
    <mergeCell ref="F32:G32"/>
    <mergeCell ref="F33:G33"/>
    <mergeCell ref="F34:G34"/>
    <mergeCell ref="F35:G35"/>
    <mergeCell ref="G1:J1"/>
    <mergeCell ref="G3:J3"/>
    <mergeCell ref="AC19:AD19"/>
    <mergeCell ref="AC7:AD7"/>
    <mergeCell ref="AC8:AD8"/>
    <mergeCell ref="AC13:AD13"/>
    <mergeCell ref="AC11:AD11"/>
    <mergeCell ref="Z18:AB18"/>
    <mergeCell ref="Q6:R6"/>
    <mergeCell ref="Q7:R7"/>
    <mergeCell ref="AC18:AD18"/>
    <mergeCell ref="AC15:AD15"/>
    <mergeCell ref="AC16:AD16"/>
    <mergeCell ref="Z16:AB16"/>
    <mergeCell ref="V8:W8"/>
    <mergeCell ref="V9:W9"/>
    <mergeCell ref="V10:W10"/>
    <mergeCell ref="V11:W11"/>
    <mergeCell ref="V12:W12"/>
    <mergeCell ref="V13:W13"/>
    <mergeCell ref="V16:W16"/>
    <mergeCell ref="V17:W17"/>
    <mergeCell ref="AC10:AD10"/>
    <mergeCell ref="M1:O1"/>
    <mergeCell ref="A5:B5"/>
    <mergeCell ref="H5:I5"/>
    <mergeCell ref="AC6:AD6"/>
    <mergeCell ref="M15:N15"/>
    <mergeCell ref="AC12:AD12"/>
    <mergeCell ref="AC14:AD14"/>
    <mergeCell ref="AC9:AD9"/>
    <mergeCell ref="AE6:AH6"/>
    <mergeCell ref="AE8:AH8"/>
    <mergeCell ref="AE10:AH10"/>
    <mergeCell ref="Z6:AB6"/>
    <mergeCell ref="Z9:AB9"/>
    <mergeCell ref="Z8:AB8"/>
    <mergeCell ref="Z12:AB12"/>
    <mergeCell ref="Z11:AB11"/>
    <mergeCell ref="AE14:AH14"/>
    <mergeCell ref="AE11:AH11"/>
    <mergeCell ref="AE12:AH12"/>
    <mergeCell ref="AE15:AH15"/>
    <mergeCell ref="Q12:R12"/>
    <mergeCell ref="Q14:R14"/>
    <mergeCell ref="Q15:R15"/>
    <mergeCell ref="V14:W14"/>
    <mergeCell ref="V15:W15"/>
    <mergeCell ref="M81:O81"/>
    <mergeCell ref="M82:O82"/>
    <mergeCell ref="M83:O83"/>
    <mergeCell ref="Q10:R10"/>
    <mergeCell ref="Q11:R11"/>
    <mergeCell ref="Q13:R13"/>
    <mergeCell ref="Q22:R22"/>
    <mergeCell ref="Q23:R23"/>
    <mergeCell ref="Q24:R24"/>
    <mergeCell ref="Q25:R25"/>
    <mergeCell ref="Q26:R26"/>
    <mergeCell ref="Q16:R16"/>
    <mergeCell ref="Q17:R17"/>
    <mergeCell ref="Q18:R18"/>
    <mergeCell ref="Q19:R19"/>
    <mergeCell ref="Q20:R20"/>
    <mergeCell ref="M75:Q76"/>
    <mergeCell ref="M60:N60"/>
    <mergeCell ref="M61:N61"/>
    <mergeCell ref="M62:N62"/>
    <mergeCell ref="M63:N63"/>
    <mergeCell ref="M64:N64"/>
    <mergeCell ref="M65:N65"/>
    <mergeCell ref="V25:W25"/>
    <mergeCell ref="V26:W26"/>
    <mergeCell ref="V18:W18"/>
    <mergeCell ref="V19:W19"/>
    <mergeCell ref="V20:W20"/>
    <mergeCell ref="V21:W21"/>
    <mergeCell ref="A29:AE29"/>
    <mergeCell ref="M79:O79"/>
    <mergeCell ref="A79:A84"/>
    <mergeCell ref="AA80:AB80"/>
    <mergeCell ref="AA83:AB83"/>
    <mergeCell ref="AA82:AB82"/>
    <mergeCell ref="AC24:AD24"/>
    <mergeCell ref="AC26:AD26"/>
    <mergeCell ref="AC25:AD25"/>
    <mergeCell ref="D37:E37"/>
    <mergeCell ref="D38:E38"/>
    <mergeCell ref="D39:E39"/>
    <mergeCell ref="Z25:AB25"/>
    <mergeCell ref="M84:O84"/>
    <mergeCell ref="AA79:AB79"/>
    <mergeCell ref="AA81:AB81"/>
    <mergeCell ref="R75:R76"/>
    <mergeCell ref="M80:O80"/>
  </mergeCells>
  <phoneticPr fontId="13" type="noConversion"/>
  <conditionalFormatting sqref="C1 C3">
    <cfRule type="expression" dxfId="49" priority="83" stopIfTrue="1">
      <formula>AND(COUNTA($B1:$J1,$M1:$X1)&gt;0,COUNTA(C1)=0)</formula>
    </cfRule>
  </conditionalFormatting>
  <conditionalFormatting sqref="M55:M74 O55:O74">
    <cfRule type="expression" dxfId="48" priority="164" stopIfTrue="1">
      <formula>AND(COUNTA($M55:$O55,$R55:$S55)&gt;0,M55=0)</formula>
    </cfRule>
  </conditionalFormatting>
  <conditionalFormatting sqref="S55:S74">
    <cfRule type="expression" dxfId="47" priority="165" stopIfTrue="1">
      <formula>AND(COUNTA($M55:$O55,R55:S55)&gt;0,S55=0)</formula>
    </cfRule>
  </conditionalFormatting>
  <conditionalFormatting sqref="R55:R74">
    <cfRule type="expression" dxfId="46" priority="166" stopIfTrue="1">
      <formula>AND(COUNTA($M55:$O55,$S55)&gt;0,R55=0)</formula>
    </cfRule>
  </conditionalFormatting>
  <conditionalFormatting sqref="M3:N3 G3 G1 M1:N1">
    <cfRule type="expression" dxfId="45" priority="69" stopIfTrue="1">
      <formula>AND(COUNTA($G$1,$G$3,$M$1,$M$3)&gt;0,COUNTA(G1)=0)</formula>
    </cfRule>
  </conditionalFormatting>
  <conditionalFormatting sqref="Q6:U6">
    <cfRule type="expression" dxfId="44" priority="95" stopIfTrue="1">
      <formula>Form_Type="OP"</formula>
    </cfRule>
  </conditionalFormatting>
  <conditionalFormatting sqref="S80:T80">
    <cfRule type="expression" dxfId="43" priority="112" stopIfTrue="1">
      <formula>AND(TODAY()&lt;=Promo_End_Date,Promo_formula=5%)</formula>
    </cfRule>
  </conditionalFormatting>
  <conditionalFormatting sqref="M53:S53 M75:T76 M54 O54:S54">
    <cfRule type="expression" dxfId="42" priority="177" stopIfTrue="1">
      <formula>Form_Type="EX"</formula>
    </cfRule>
  </conditionalFormatting>
  <conditionalFormatting sqref="O77:R78">
    <cfRule type="expression" dxfId="41" priority="178" stopIfTrue="1">
      <formula>AND($AA$77&gt;0,O77="")</formula>
    </cfRule>
    <cfRule type="cellIs" priority="179" stopIfTrue="1" operator="notEqual">
      <formula>" "</formula>
    </cfRule>
  </conditionalFormatting>
  <conditionalFormatting sqref="P55:P74">
    <cfRule type="expression" dxfId="40" priority="54" stopIfTrue="1">
      <formula>OR(LEFT(O55,1)="1",LEFT(O55,1)="2",LEFT(O55,1)="3",LEFT(O55,1)="4",LEFT(O55,1)="5",LEFT(O55,1)="6")</formula>
    </cfRule>
    <cfRule type="expression" dxfId="39" priority="55" stopIfTrue="1">
      <formula>OR(AND(P55="",LEFT(O55,2)="cu"),AND(COUNTA(M55,R55,S55)&gt;0,P55=0))</formula>
    </cfRule>
  </conditionalFormatting>
  <conditionalFormatting sqref="Q55:Q74">
    <cfRule type="expression" dxfId="38" priority="52" stopIfTrue="1">
      <formula>OR(LEFT(O55,1)="2",LEFT(O55,1)="3",LEFT(O55,1)="4",LEFT(O55,1)="5")</formula>
    </cfRule>
    <cfRule type="expression" dxfId="37" priority="53" stopIfTrue="1">
      <formula>OR(AND(P55="",LEFT(O55,2)="cu"),AND(COUNTA(M55,R55,S55)&gt;0,Q55=0))</formula>
    </cfRule>
  </conditionalFormatting>
  <conditionalFormatting sqref="M80:O80">
    <cfRule type="expression" dxfId="36" priority="51" stopIfTrue="1">
      <formula>AND(RIGHT(DeliveryChoice,2)="s)",M80="")</formula>
    </cfRule>
  </conditionalFormatting>
  <conditionalFormatting sqref="H6:L26">
    <cfRule type="expression" dxfId="35" priority="43" stopIfTrue="1">
      <formula>prefix="ss_"</formula>
    </cfRule>
  </conditionalFormatting>
  <conditionalFormatting sqref="AC6:AD26">
    <cfRule type="expression" dxfId="34" priority="34" stopIfTrue="1">
      <formula>prefix="ss_"</formula>
    </cfRule>
  </conditionalFormatting>
  <conditionalFormatting sqref="E6:E26">
    <cfRule type="expression" dxfId="33" priority="27" stopIfTrue="1">
      <formula>$C$1="Skylight Fakro"</formula>
    </cfRule>
  </conditionalFormatting>
  <conditionalFormatting sqref="M81:O84">
    <cfRule type="expression" dxfId="32" priority="345" stopIfTrue="1">
      <formula>AND($M$79="Ship with:",M80&lt;&gt;"",M81="")</formula>
    </cfRule>
  </conditionalFormatting>
  <conditionalFormatting sqref="F54:F74">
    <cfRule type="expression" dxfId="31" priority="418" stopIfTrue="1">
      <formula>AND(AE30="All",F54="")</formula>
    </cfRule>
    <cfRule type="expression" dxfId="30" priority="419" stopIfTrue="1">
      <formula>Form_Type="EX"</formula>
    </cfRule>
  </conditionalFormatting>
  <conditionalFormatting sqref="C31:C50">
    <cfRule type="expression" dxfId="29" priority="6" stopIfTrue="1">
      <formula>AND(FIND("T",E7)&gt;0,C31="")</formula>
    </cfRule>
    <cfRule type="expression" dxfId="28" priority="424" stopIfTrue="1">
      <formula>AND(OR(COUNTA($C31:$AD31)&gt;0,B7&lt;&gt;""),COUNTA(C31)=0,Form_Type&lt;&gt;"OP")</formula>
    </cfRule>
  </conditionalFormatting>
  <conditionalFormatting sqref="Q6">
    <cfRule type="expression" dxfId="27" priority="18" stopIfTrue="1">
      <formula>Form_Type="OP"</formula>
    </cfRule>
  </conditionalFormatting>
  <conditionalFormatting sqref="AC31:AC50">
    <cfRule type="expression" dxfId="26" priority="516" stopIfTrue="1">
      <formula>AND(OR(COUNTA($C31:$AF31)&gt;0,#REF!&lt;&gt;""),COUNTA(AC31)=0,Form_Type&lt;&gt;"OP")</formula>
    </cfRule>
  </conditionalFormatting>
  <conditionalFormatting sqref="V6:W26">
    <cfRule type="expression" dxfId="25" priority="13" stopIfTrue="1">
      <formula>prefix="ss_"</formula>
    </cfRule>
  </conditionalFormatting>
  <conditionalFormatting sqref="L7:L26">
    <cfRule type="expression" dxfId="24" priority="10" stopIfTrue="1">
      <formula>AND(C7="Tier on tier",L7="")</formula>
    </cfRule>
  </conditionalFormatting>
  <conditionalFormatting sqref="D31:E50">
    <cfRule type="expression" dxfId="23" priority="5" stopIfTrue="1">
      <formula>AND(FIND("B",E7)&gt;0,LEFT(C7,5)&lt;&gt;"Track",D31="")</formula>
    </cfRule>
  </conditionalFormatting>
  <conditionalFormatting sqref="F31:G50">
    <cfRule type="expression" dxfId="22" priority="4" stopIfTrue="1">
      <formula>AND(FIND("C",E7)&gt;0,F31="")</formula>
    </cfRule>
  </conditionalFormatting>
  <conditionalFormatting sqref="H31:H50">
    <cfRule type="expression" dxfId="21" priority="3" stopIfTrue="1">
      <formula>AND(D31&lt;&gt;"",D31&lt;&gt;"None",H31="")</formula>
    </cfRule>
  </conditionalFormatting>
  <conditionalFormatting sqref="H7:H26">
    <cfRule type="expression" dxfId="20" priority="2" stopIfTrue="1">
      <formula>AND(H7="",VLOOKUP(C7,StandardShapes,4,FALSE)=1)</formula>
    </cfRule>
  </conditionalFormatting>
  <conditionalFormatting sqref="AD31:AE50">
    <cfRule type="expression" dxfId="19" priority="1" stopIfTrue="1">
      <formula>AND(C7="Tier on Tier",Form_Type&lt;&gt;"OP",AD31="")</formula>
    </cfRule>
  </conditionalFormatting>
  <conditionalFormatting sqref="Q7:U26">
    <cfRule type="expression" dxfId="18" priority="562" stopIfTrue="1">
      <formula>Form_Type="OP"</formula>
    </cfRule>
  </conditionalFormatting>
  <conditionalFormatting sqref="V7:W26 M7:P26">
    <cfRule type="expression" dxfId="17" priority="551" stopIfTrue="1">
      <formula>Form_Type="Frame"</formula>
    </cfRule>
  </conditionalFormatting>
  <conditionalFormatting sqref="Z27">
    <cfRule type="expression" dxfId="16" priority="620" stopIfTrue="1">
      <formula>AND((COUNTIF($Z$7:$Z$26,"Listed Colour swatch (Paint)")+COUNTIF($M$55:$M$74,"Listed Colour swatch (Paint)")+COUNTIF($Z$7:$Z$26,"Listed Colour swatch (Stain)")+COUNTIF($M$55:$M$74,"Listed Colour swatch (Stain)")&gt;0),Z27="")</formula>
    </cfRule>
  </conditionalFormatting>
  <conditionalFormatting sqref="AB27">
    <cfRule type="expression" dxfId="15" priority="621" stopIfTrue="1">
      <formula>AND((COUNTIF($Z$7:$Z$26,"Other Swatch (Paint)")+COUNTIF($M$55:$M$74,"Other swatch (Paint)")+COUNTIF($Z$7:$Z$26,"Other Swatch (Stain)")+COUNTIF($M$55:$M$74,"Other swatch (Stain)")&gt;0),AB27="")</formula>
    </cfRule>
  </conditionalFormatting>
  <conditionalFormatting sqref="Z7:AB26 B7:E26 I7:I26 V7:V26 M7:P26">
    <cfRule type="expression" dxfId="14" priority="622">
      <formula>AND(COUNTA($B7:$E7,$I7:$R7,$Z7:$AH7)&gt;0,COUNTA(B7)=0)</formula>
    </cfRule>
  </conditionalFormatting>
  <conditionalFormatting sqref="V7:V26 M7:Q26">
    <cfRule type="expression" dxfId="13" priority="630" stopIfTrue="1">
      <formula>AND(COUNTA($B7:$E7,$I7:$R7,$Z7:$AH7)&gt;0,COUNTA(M7)=0)</formula>
    </cfRule>
  </conditionalFormatting>
  <conditionalFormatting sqref="AC7:AD26">
    <cfRule type="expression" dxfId="12" priority="634" stopIfTrue="1">
      <formula>AND(COUNTA($B7:$E7,$I7:$R7,$Z7:$AH7)&gt;0,COUNTA(AC7)=0,prefix&lt;&gt;"ss_")</formula>
    </cfRule>
  </conditionalFormatting>
  <conditionalFormatting sqref="Y7:Y26">
    <cfRule type="expression" dxfId="11" priority="635" stopIfTrue="1">
      <formula>AND(COUNTA(B7:E7,I7:R7,Z7:AH7)&gt;0,COUNTA(Y7)=0,Y6&lt;&gt;"N/A")</formula>
    </cfRule>
    <cfRule type="expression" dxfId="10" priority="636" stopIfTrue="1">
      <formula>$C$3="Frame Only"</formula>
    </cfRule>
  </conditionalFormatting>
  <conditionalFormatting sqref="E7:E26">
    <cfRule type="expression" dxfId="9" priority="637">
      <formula>AND(COUNTA($B7:$E7,$I7:$R7,$Z7:$AH7)&gt;0,E7="")</formula>
    </cfRule>
  </conditionalFormatting>
  <conditionalFormatting sqref="Y6">
    <cfRule type="expression" dxfId="8" priority="638" stopIfTrue="1">
      <formula>AND(COUNTA($B6:$T6,$Z6:$AH6)&gt;0,COUNTA(Y6)=0)</formula>
    </cfRule>
    <cfRule type="expression" dxfId="7" priority="639" stopIfTrue="1">
      <formula>$C$3="Frame Only"</formula>
    </cfRule>
  </conditionalFormatting>
  <conditionalFormatting sqref="F7:G26">
    <cfRule type="expression" dxfId="6" priority="640" stopIfTrue="1">
      <formula>AND(COUNTA($B7:$E7,$I7:$R7,$Z7:$AH7)&gt;0,F7=0)</formula>
    </cfRule>
  </conditionalFormatting>
  <dataValidations xWindow="828" yWindow="201" count="35">
    <dataValidation type="custom" errorStyle="warning" operator="lessThanOrEqual" allowBlank="1" promptTitle="Panel Size" prompt="Max guaranteed panel widths for bifold/multifold is 400mm for 32mm louvre; 550mm for others" sqref="F7:H26" xr:uid="{00000000-0002-0000-0000-000000000000}">
      <formula1>F7/LEN(E7)&lt;400</formula1>
    </dataValidation>
    <dataValidation type="list" allowBlank="1" showInputMessage="1" errorTitle="Wrong Config" error="You have entered a configuration that is not in the list._x000a__x000a_If you want a configuration that is not in the list, leave this box blank and enter your requirements in the notes." sqref="E7:E26" xr:uid="{00000000-0002-0000-0000-000001000000}">
      <formula1>IF(RIGHT($C$1,5)="Velux",INDIRECT(prefix &amp; "CF" &amp; VLOOKUP(C7,ss_M_T_PriceTab,6,FALSE)),IF(LEFT(C7,4)="free",FFCF,IF(ISERR(SEARCH("by",C7)),CF,BPCF)))</formula1>
    </dataValidation>
    <dataValidation type="list" errorStyle="warning" allowBlank="1" showInputMessage="1" showErrorMessage="1" errorTitle="Outside normal range" error="Outside normal range" sqref="C31:C50" xr:uid="{00000000-0002-0000-0000-000002000000}">
      <formula1>IF(Form_Type="EX",IF(MID(C7,9,3)="Raw",N,IF(MID(C7,10,7)="Venster",cx_VensterAstragal,Astragal)),TPosts)</formula1>
    </dataValidation>
    <dataValidation type="list" allowBlank="1" showInputMessage="1" sqref="E55:E74" xr:uid="{00000000-0002-0000-0000-000003000000}">
      <formula1>IF(Form_Type="EX",IF(MID(D7,10,7)="Venster",cx_HingeGroove,YN),BuildOutOptions)</formula1>
    </dataValidation>
    <dataValidation type="list" showErrorMessage="1" promptTitle="Delivery Mode" prompt="Sea Delivery is included in the price_x000a_Air Delivery is available for orders over 5 square metres @ £65/sqm_x000a_Sea/Air delivery is available for orders over 7 square metres @ £35/sqm" sqref="X79" xr:uid="{00000000-0002-0000-0000-000004000000}">
      <formula1>deliverytype</formula1>
    </dataValidation>
    <dataValidation allowBlank="1" sqref="S1:T2 X55:X74 G27 F3:G3 F1:G1 L3:N3 U2:X2 P2:R2 R1 L1:N1" xr:uid="{00000000-0002-0000-0000-000005000000}"/>
    <dataValidation type="list" errorStyle="warning" allowBlank="1" showInputMessage="1" showErrorMessage="1" error="This is a non standard colour" sqref="M55:M74" xr:uid="{00000000-0002-0000-0000-000006000000}">
      <formula1>IF($Y$7="C",CCL,CL)</formula1>
    </dataValidation>
    <dataValidation type="list" allowBlank="1" showInputMessage="1" showErrorMessage="1" sqref="AC7:AD26" xr:uid="{00000000-0002-0000-0000-000007000000}">
      <formula1>IF(Form_Type="EX",YN,hc)</formula1>
    </dataValidation>
    <dataValidation type="list" allowBlank="1" showInputMessage="1" showErrorMessage="1" errorTitle="Wrong Size!" error="Wrong input! Please verify!" sqref="O28" xr:uid="{00000000-0002-0000-0000-000008000000}">
      <formula1>Louver</formula1>
    </dataValidation>
    <dataValidation type="whole" allowBlank="1" showInputMessage="1" showErrorMessage="1" errorTitle="Wrong Input" error="Wrong Input! Please key in a number. The guaranteed width is 760mm." sqref="E28" xr:uid="{00000000-0002-0000-0000-000009000000}">
      <formula1>0</formula1>
      <formula2>1200</formula2>
    </dataValidation>
    <dataValidation type="whole" allowBlank="1" showInputMessage="1" showErrorMessage="1" errorTitle="Wrong Input" error="Wrong Input! Please key in a number." sqref="F28:N28" xr:uid="{00000000-0002-0000-0000-00000A000000}">
      <formula1>1</formula1>
      <formula2>3600</formula2>
    </dataValidation>
    <dataValidation allowBlank="1" showErrorMessage="1" promptTitle="Do not Edit" prompt="These rows relate directly to the rows above (1-16).  please do not enter data in these cells" sqref="B31:B50" xr:uid="{00000000-0002-0000-0000-00000B000000}"/>
    <dataValidation allowBlank="1" showInputMessage="1" sqref="R55:R74" xr:uid="{00000000-0002-0000-0000-00000C000000}"/>
    <dataValidation allowBlank="1" showInputMessage="1" showErrorMessage="1" promptTitle="Panel Warning Message" prompt="In excess of 6 panels needs to be independently supported - either with a Track System or an intermediary T-Post" sqref="X7:X26" xr:uid="{00000000-0002-0000-0000-00000D000000}"/>
    <dataValidation type="textLength" operator="lessThanOrEqual" allowBlank="1" showInputMessage="1" showErrorMessage="1" errorTitle="CRAFTWOOD OD ERROR MESSAGE" error="You can only put 50 characters of less in this column.  For more in depth notes, please use the notes box at the bottom of the page" sqref="AE7:AE26" xr:uid="{00000000-0002-0000-0000-00000E000000}">
      <formula1>50</formula1>
    </dataValidation>
    <dataValidation allowBlank="1" showInputMessage="1" showErrorMessage="1" errorTitle="Craftwoord OD form message" error="The value for this column MUST be &quot;S&quot; as the Craftwood range only comes in a standard pallette of colours" sqref="Y6" xr:uid="{00000000-0002-0000-0000-00000F000000}"/>
    <dataValidation type="list" allowBlank="1" showInputMessage="1" showErrorMessage="1" errorTitle="Basswood OD form message" error="Please enter only S, C or D" sqref="Y7:Y26" xr:uid="{00000000-0002-0000-0000-000010000000}">
      <formula1>sparelouvres</formula1>
    </dataValidation>
    <dataValidation allowBlank="1" showInputMessage="1" showErrorMessage="1" promptTitle="CUSTOMER NAME - COMPULSORY" prompt="To complete this form successfully, you must enter in your Dealer Name, Dealer Order Number and Customer Name" sqref="K4:L4" xr:uid="{00000000-0002-0000-0000-000011000000}"/>
    <dataValidation type="list" allowBlank="1" showErrorMessage="1" errorTitle="Wrong Size!" error="Wrong input! Please verify!" prompt="_x000a_" sqref="O7:O26" xr:uid="{00000000-0002-0000-0000-000012000000}">
      <formula1>Tilt_rod_options</formula1>
    </dataValidation>
    <dataValidation type="whole" allowBlank="1" showInputMessage="1" showErrorMessage="1" errorTitle="Order Qty" error="Please key in the panel quantity that you want." sqref="D7:D26" xr:uid="{00000000-0002-0000-0000-000013000000}">
      <formula1>1</formula1>
      <formula2>1000</formula2>
    </dataValidation>
    <dataValidation type="list" allowBlank="1" showInputMessage="1" showErrorMessage="1" errorTitle="ERROR" error="You can not enter values outside the drop-down menu" sqref="C7:C26" xr:uid="{00000000-0002-0000-0000-000014000000}">
      <formula1>IF(ISERR(SEARCH("fakro",$C$1)),M_T,fakroM_T)</formula1>
    </dataValidation>
    <dataValidation type="list" errorStyle="warning" allowBlank="1" showInputMessage="1" showErrorMessage="1" errorTitle="Wood type not in list!" error="The wood type you have chosen in not in the standard list." promptTitle="Start Here" prompt="Select a wood type" sqref="C1" xr:uid="{00000000-0002-0000-0000-000015000000}">
      <formula1>Woodtypes</formula1>
    </dataValidation>
    <dataValidation type="list" allowBlank="1" showInputMessage="1" showErrorMessage="1" sqref="C3" xr:uid="{00000000-0002-0000-0000-000016000000}">
      <formula1>IF(prefix="ss_",Form_Types_OP,Form_Types)</formula1>
    </dataValidation>
    <dataValidation type="list" allowBlank="1" showInputMessage="1" showErrorMessage="1" sqref="O55:O74" xr:uid="{00000000-0002-0000-0000-000017000000}">
      <formula1>bt</formula1>
    </dataValidation>
    <dataValidation type="list" errorStyle="warning" allowBlank="1" showInputMessage="1" showErrorMessage="1" error="This is a non standard colour" sqref="Z7:AB26" xr:uid="{00000000-0002-0000-0000-000018000000}">
      <formula1>IF(Form_Type="EX",INDIRECT(prefix &amp; Group1 &amp; "_CL"),CL)</formula1>
    </dataValidation>
    <dataValidation type="list" allowBlank="1" showInputMessage="1" showErrorMessage="1" sqref="V7:V26" xr:uid="{00000000-0002-0000-0000-000019000000}">
      <formula1>IF(AND(OR(LEFT(C7,5)="Track",LEFT(C7,4)="Free"),OR(RIGHT(M7,4)="RC B",RIGHT(M7,4)="RC S")),brc,IF(OR(RIGHT(M7,4)="RC B",RIGHT(M7,4)="RC S"),rdrc,IF(OR(LEFT(C7,5)="Track",LEFT(C7,4)="Free",M7="Solid Shaker"),rdbr,IF(LEN(E7)=1,_rd1,rd))))</formula1>
    </dataValidation>
    <dataValidation type="custom" allowBlank="1" showErrorMessage="1" errorTitle="OP" error="There are no T-posts on OP specification. Change the form to OD to allow T-Post entry." sqref="I31:AB50" xr:uid="{00000000-0002-0000-0000-00001A000000}">
      <formula1>Form_Type&lt;&gt;"OP"</formula1>
    </dataValidation>
    <dataValidation type="list" allowBlank="1" showInputMessage="1" showErrorMessage="1" sqref="Q7:R26" xr:uid="{00000000-0002-0000-0000-00001B000000}">
      <formula1>IF(AND(LEFT(C7,4)&lt;&gt;"Free",LEFT(C7,5)&lt;&gt;"Track"),ft,fttrack)</formula1>
    </dataValidation>
    <dataValidation type="list" errorStyle="warning" allowBlank="1" showInputMessage="1" showErrorMessage="1" errorTitle="Outside normal range" error="Outside normal range" sqref="H31:H50" xr:uid="{00000000-0002-0000-0000-00001C000000}">
      <formula1>Measure</formula1>
    </dataValidation>
    <dataValidation type="list" errorStyle="warning" allowBlank="1" showInputMessage="1" showErrorMessage="1" errorTitle="Outside normal range" error="Outside normal range" sqref="D31:E50" xr:uid="{00000000-0002-0000-0000-00001D000000}">
      <formula1>BPosts</formula1>
    </dataValidation>
    <dataValidation type="list" errorStyle="warning" allowBlank="1" showInputMessage="1" showErrorMessage="1" errorTitle="Outside normal range" error="Outside normal range" sqref="F31:G50" xr:uid="{00000000-0002-0000-0000-00001E000000}">
      <formula1>CPosts</formula1>
    </dataValidation>
    <dataValidation type="list" allowBlank="1" showErrorMessage="1" errorTitle="OP" error="There are no T-posts on OP specification. Change the form to OD to allow T-Post entry." sqref="AD31:AE50" xr:uid="{00000000-0002-0000-0000-00001F000000}">
      <formula1>TPosts</formula1>
    </dataValidation>
    <dataValidation type="list" errorStyle="warning" allowBlank="1" showErrorMessage="1" errorTitle="Louvre not in list!" error="The chosen louvre size is not in the standard list. Please choose from the drop down list, unless you are manually entering an RC louvre." promptTitle="Scroll down for further options" prompt="Remote Control options indicated with RC" sqref="M7:N26" xr:uid="{00000000-0002-0000-0000-000020000000}">
      <formula1>IF(C7="Tier on tier",NoRcLv,IF(LEFT(C7,7)="track o",OpenBPLv,lv))</formula1>
    </dataValidation>
    <dataValidation allowBlank="1" showInputMessage="1" showErrorMessage="1" errorTitle="Wrong Size!" error="Wrong input! Please verify!" promptTitle="Remote Control Handsets" prompt="One handset is provided. If more are required please indicate the total quantity here._x000a_Note: Batteries are not included in the price." sqref="M27" xr:uid="{00000000-0002-0000-0000-000021000000}"/>
    <dataValidation type="list" allowBlank="1" showInputMessage="1" showErrorMessage="1" sqref="AC31:AC50" xr:uid="{00000000-0002-0000-0000-000022000000}">
      <formula1>IF(AND(wood_type&lt;&gt;"Java",LEFT(V7,1)&lt;&gt;"R"), IF(OR(C7="Tier on tier",C7="Tier on Tier",AND(C7="Café Style",OR(AG31=3,AG31="3B")),AND(C7="Full Height",AG31=3)),YN,N),N)</formula1>
    </dataValidation>
  </dataValidations>
  <printOptions horizontalCentered="1" verticalCentered="1"/>
  <pageMargins left="0.23622047244094491" right="0.23622047244094491" top="0.19685039370078741" bottom="0.19685039370078741" header="0" footer="0"/>
  <pageSetup paperSize="9" scale="41" orientation="landscape" horizontalDpi="4294967294" verticalDpi="300" r:id="rId2"/>
  <headerFooter alignWithMargins="0">
    <oddHeader>&amp;L&amp;10
Date &amp;D&amp;C&amp;"Arial,Bold"&amp;18S:CRAFT Order Card&amp;R&amp;10
sales@s-craft.co.uk</oddHeader>
  </headerFooter>
  <cellWatches>
    <cellWatch r="AA83"/>
  </cellWatches>
  <ignoredErrors>
    <ignoredError sqref="F21:F26 G21:G26"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16744" r:id="rId5" name="Option Button 1384">
              <controlPr defaultSize="0" autoFill="0" autoLine="0" autoPict="0" altText="Normal">
                <anchor moveWithCells="1">
                  <from>
                    <xdr:col>12</xdr:col>
                    <xdr:colOff>38100</xdr:colOff>
                    <xdr:row>3</xdr:row>
                    <xdr:rowOff>0</xdr:rowOff>
                  </from>
                  <to>
                    <xdr:col>13</xdr:col>
                    <xdr:colOff>9525</xdr:colOff>
                    <xdr:row>4</xdr:row>
                    <xdr:rowOff>161925</xdr:rowOff>
                  </to>
                </anchor>
              </controlPr>
            </control>
          </mc:Choice>
        </mc:AlternateContent>
        <mc:AlternateContent xmlns:mc="http://schemas.openxmlformats.org/markup-compatibility/2006">
          <mc:Choice Requires="x14">
            <control shapeId="16746" r:id="rId6" name="Option Button 1386">
              <controlPr defaultSize="0" autoFill="0" autoLine="0" autoPict="0">
                <anchor moveWithCells="1">
                  <from>
                    <xdr:col>13</xdr:col>
                    <xdr:colOff>0</xdr:colOff>
                    <xdr:row>3</xdr:row>
                    <xdr:rowOff>9525</xdr:rowOff>
                  </from>
                  <to>
                    <xdr:col>14</xdr:col>
                    <xdr:colOff>276225</xdr:colOff>
                    <xdr:row>4</xdr:row>
                    <xdr:rowOff>161925</xdr:rowOff>
                  </to>
                </anchor>
              </controlPr>
            </control>
          </mc:Choice>
        </mc:AlternateContent>
        <mc:AlternateContent xmlns:mc="http://schemas.openxmlformats.org/markup-compatibility/2006">
          <mc:Choice Requires="x14">
            <control shapeId="45689" r:id="rId7" name="Check Box 8825">
              <controlPr defaultSize="0" autoFill="0" autoLine="0" autoPict="0">
                <anchor>
                  <from>
                    <xdr:col>10</xdr:col>
                    <xdr:colOff>190500</xdr:colOff>
                    <xdr:row>6</xdr:row>
                    <xdr:rowOff>0</xdr:rowOff>
                  </from>
                  <to>
                    <xdr:col>10</xdr:col>
                    <xdr:colOff>409575</xdr:colOff>
                    <xdr:row>7</xdr:row>
                    <xdr:rowOff>9525</xdr:rowOff>
                  </to>
                </anchor>
              </controlPr>
            </control>
          </mc:Choice>
        </mc:AlternateContent>
        <mc:AlternateContent xmlns:mc="http://schemas.openxmlformats.org/markup-compatibility/2006">
          <mc:Choice Requires="x14">
            <control shapeId="45690" r:id="rId8" name="Check Box 8826">
              <controlPr defaultSize="0" autoFill="0" autoLine="0" autoPict="0">
                <anchor>
                  <from>
                    <xdr:col>10</xdr:col>
                    <xdr:colOff>190500</xdr:colOff>
                    <xdr:row>6</xdr:row>
                    <xdr:rowOff>190500</xdr:rowOff>
                  </from>
                  <to>
                    <xdr:col>10</xdr:col>
                    <xdr:colOff>409575</xdr:colOff>
                    <xdr:row>8</xdr:row>
                    <xdr:rowOff>0</xdr:rowOff>
                  </to>
                </anchor>
              </controlPr>
            </control>
          </mc:Choice>
        </mc:AlternateContent>
        <mc:AlternateContent xmlns:mc="http://schemas.openxmlformats.org/markup-compatibility/2006">
          <mc:Choice Requires="x14">
            <control shapeId="45692" r:id="rId9" name="Check Box 8828">
              <controlPr defaultSize="0" autoFill="0" autoLine="0" autoPict="0">
                <anchor>
                  <from>
                    <xdr:col>10</xdr:col>
                    <xdr:colOff>190500</xdr:colOff>
                    <xdr:row>8</xdr:row>
                    <xdr:rowOff>0</xdr:rowOff>
                  </from>
                  <to>
                    <xdr:col>10</xdr:col>
                    <xdr:colOff>409575</xdr:colOff>
                    <xdr:row>9</xdr:row>
                    <xdr:rowOff>9525</xdr:rowOff>
                  </to>
                </anchor>
              </controlPr>
            </control>
          </mc:Choice>
        </mc:AlternateContent>
        <mc:AlternateContent xmlns:mc="http://schemas.openxmlformats.org/markup-compatibility/2006">
          <mc:Choice Requires="x14">
            <control shapeId="45693" r:id="rId10" name="Check Box 8829">
              <controlPr defaultSize="0" autoFill="0" autoLine="0" autoPict="0">
                <anchor>
                  <from>
                    <xdr:col>10</xdr:col>
                    <xdr:colOff>190500</xdr:colOff>
                    <xdr:row>9</xdr:row>
                    <xdr:rowOff>0</xdr:rowOff>
                  </from>
                  <to>
                    <xdr:col>10</xdr:col>
                    <xdr:colOff>409575</xdr:colOff>
                    <xdr:row>10</xdr:row>
                    <xdr:rowOff>9525</xdr:rowOff>
                  </to>
                </anchor>
              </controlPr>
            </control>
          </mc:Choice>
        </mc:AlternateContent>
        <mc:AlternateContent xmlns:mc="http://schemas.openxmlformats.org/markup-compatibility/2006">
          <mc:Choice Requires="x14">
            <control shapeId="45694" r:id="rId11" name="Check Box 8830">
              <controlPr defaultSize="0" autoFill="0" autoLine="0" autoPict="0">
                <anchor>
                  <from>
                    <xdr:col>10</xdr:col>
                    <xdr:colOff>190500</xdr:colOff>
                    <xdr:row>9</xdr:row>
                    <xdr:rowOff>190500</xdr:rowOff>
                  </from>
                  <to>
                    <xdr:col>10</xdr:col>
                    <xdr:colOff>409575</xdr:colOff>
                    <xdr:row>11</xdr:row>
                    <xdr:rowOff>0</xdr:rowOff>
                  </to>
                </anchor>
              </controlPr>
            </control>
          </mc:Choice>
        </mc:AlternateContent>
        <mc:AlternateContent xmlns:mc="http://schemas.openxmlformats.org/markup-compatibility/2006">
          <mc:Choice Requires="x14">
            <control shapeId="45695" r:id="rId12" name="Check Box 8831">
              <controlPr defaultSize="0" autoFill="0" autoLine="0" autoPict="0">
                <anchor>
                  <from>
                    <xdr:col>10</xdr:col>
                    <xdr:colOff>190500</xdr:colOff>
                    <xdr:row>11</xdr:row>
                    <xdr:rowOff>0</xdr:rowOff>
                  </from>
                  <to>
                    <xdr:col>10</xdr:col>
                    <xdr:colOff>409575</xdr:colOff>
                    <xdr:row>12</xdr:row>
                    <xdr:rowOff>9525</xdr:rowOff>
                  </to>
                </anchor>
              </controlPr>
            </control>
          </mc:Choice>
        </mc:AlternateContent>
        <mc:AlternateContent xmlns:mc="http://schemas.openxmlformats.org/markup-compatibility/2006">
          <mc:Choice Requires="x14">
            <control shapeId="45696" r:id="rId13" name="Check Box 8832">
              <controlPr defaultSize="0" autoFill="0" autoLine="0" autoPict="0">
                <anchor>
                  <from>
                    <xdr:col>10</xdr:col>
                    <xdr:colOff>190500</xdr:colOff>
                    <xdr:row>11</xdr:row>
                    <xdr:rowOff>190500</xdr:rowOff>
                  </from>
                  <to>
                    <xdr:col>10</xdr:col>
                    <xdr:colOff>409575</xdr:colOff>
                    <xdr:row>13</xdr:row>
                    <xdr:rowOff>0</xdr:rowOff>
                  </to>
                </anchor>
              </controlPr>
            </control>
          </mc:Choice>
        </mc:AlternateContent>
        <mc:AlternateContent xmlns:mc="http://schemas.openxmlformats.org/markup-compatibility/2006">
          <mc:Choice Requires="x14">
            <control shapeId="45697" r:id="rId14" name="Check Box 8833">
              <controlPr defaultSize="0" autoFill="0" autoLine="0" autoPict="0">
                <anchor>
                  <from>
                    <xdr:col>10</xdr:col>
                    <xdr:colOff>190500</xdr:colOff>
                    <xdr:row>12</xdr:row>
                    <xdr:rowOff>190500</xdr:rowOff>
                  </from>
                  <to>
                    <xdr:col>10</xdr:col>
                    <xdr:colOff>409575</xdr:colOff>
                    <xdr:row>14</xdr:row>
                    <xdr:rowOff>0</xdr:rowOff>
                  </to>
                </anchor>
              </controlPr>
            </control>
          </mc:Choice>
        </mc:AlternateContent>
        <mc:AlternateContent xmlns:mc="http://schemas.openxmlformats.org/markup-compatibility/2006">
          <mc:Choice Requires="x14">
            <control shapeId="45698" r:id="rId15" name="Check Box 8834">
              <controlPr defaultSize="0" autoFill="0" autoLine="0" autoPict="0">
                <anchor>
                  <from>
                    <xdr:col>10</xdr:col>
                    <xdr:colOff>190500</xdr:colOff>
                    <xdr:row>13</xdr:row>
                    <xdr:rowOff>190500</xdr:rowOff>
                  </from>
                  <to>
                    <xdr:col>10</xdr:col>
                    <xdr:colOff>409575</xdr:colOff>
                    <xdr:row>15</xdr:row>
                    <xdr:rowOff>0</xdr:rowOff>
                  </to>
                </anchor>
              </controlPr>
            </control>
          </mc:Choice>
        </mc:AlternateContent>
        <mc:AlternateContent xmlns:mc="http://schemas.openxmlformats.org/markup-compatibility/2006">
          <mc:Choice Requires="x14">
            <control shapeId="45699" r:id="rId16" name="Check Box 8835">
              <controlPr defaultSize="0" autoFill="0" autoLine="0" autoPict="0">
                <anchor>
                  <from>
                    <xdr:col>10</xdr:col>
                    <xdr:colOff>190500</xdr:colOff>
                    <xdr:row>14</xdr:row>
                    <xdr:rowOff>190500</xdr:rowOff>
                  </from>
                  <to>
                    <xdr:col>10</xdr:col>
                    <xdr:colOff>409575</xdr:colOff>
                    <xdr:row>16</xdr:row>
                    <xdr:rowOff>0</xdr:rowOff>
                  </to>
                </anchor>
              </controlPr>
            </control>
          </mc:Choice>
        </mc:AlternateContent>
        <mc:AlternateContent xmlns:mc="http://schemas.openxmlformats.org/markup-compatibility/2006">
          <mc:Choice Requires="x14">
            <control shapeId="45700" r:id="rId17" name="Check Box 8836">
              <controlPr defaultSize="0" autoFill="0" autoLine="0" autoPict="0">
                <anchor>
                  <from>
                    <xdr:col>10</xdr:col>
                    <xdr:colOff>190500</xdr:colOff>
                    <xdr:row>15</xdr:row>
                    <xdr:rowOff>190500</xdr:rowOff>
                  </from>
                  <to>
                    <xdr:col>10</xdr:col>
                    <xdr:colOff>409575</xdr:colOff>
                    <xdr:row>17</xdr:row>
                    <xdr:rowOff>0</xdr:rowOff>
                  </to>
                </anchor>
              </controlPr>
            </control>
          </mc:Choice>
        </mc:AlternateContent>
        <mc:AlternateContent xmlns:mc="http://schemas.openxmlformats.org/markup-compatibility/2006">
          <mc:Choice Requires="x14">
            <control shapeId="45701" r:id="rId18" name="Check Box 8837">
              <controlPr defaultSize="0" autoFill="0" autoLine="0" autoPict="0">
                <anchor>
                  <from>
                    <xdr:col>10</xdr:col>
                    <xdr:colOff>190500</xdr:colOff>
                    <xdr:row>16</xdr:row>
                    <xdr:rowOff>190500</xdr:rowOff>
                  </from>
                  <to>
                    <xdr:col>10</xdr:col>
                    <xdr:colOff>409575</xdr:colOff>
                    <xdr:row>18</xdr:row>
                    <xdr:rowOff>0</xdr:rowOff>
                  </to>
                </anchor>
              </controlPr>
            </control>
          </mc:Choice>
        </mc:AlternateContent>
        <mc:AlternateContent xmlns:mc="http://schemas.openxmlformats.org/markup-compatibility/2006">
          <mc:Choice Requires="x14">
            <control shapeId="45702" r:id="rId19" name="Check Box 8838">
              <controlPr defaultSize="0" autoFill="0" autoLine="0" autoPict="0">
                <anchor>
                  <from>
                    <xdr:col>10</xdr:col>
                    <xdr:colOff>190500</xdr:colOff>
                    <xdr:row>18</xdr:row>
                    <xdr:rowOff>0</xdr:rowOff>
                  </from>
                  <to>
                    <xdr:col>10</xdr:col>
                    <xdr:colOff>409575</xdr:colOff>
                    <xdr:row>19</xdr:row>
                    <xdr:rowOff>9525</xdr:rowOff>
                  </to>
                </anchor>
              </controlPr>
            </control>
          </mc:Choice>
        </mc:AlternateContent>
        <mc:AlternateContent xmlns:mc="http://schemas.openxmlformats.org/markup-compatibility/2006">
          <mc:Choice Requires="x14">
            <control shapeId="45703" r:id="rId20" name="Check Box 8839">
              <controlPr defaultSize="0" autoFill="0" autoLine="0" autoPict="0">
                <anchor>
                  <from>
                    <xdr:col>10</xdr:col>
                    <xdr:colOff>190500</xdr:colOff>
                    <xdr:row>19</xdr:row>
                    <xdr:rowOff>0</xdr:rowOff>
                  </from>
                  <to>
                    <xdr:col>10</xdr:col>
                    <xdr:colOff>409575</xdr:colOff>
                    <xdr:row>20</xdr:row>
                    <xdr:rowOff>9525</xdr:rowOff>
                  </to>
                </anchor>
              </controlPr>
            </control>
          </mc:Choice>
        </mc:AlternateContent>
        <mc:AlternateContent xmlns:mc="http://schemas.openxmlformats.org/markup-compatibility/2006">
          <mc:Choice Requires="x14">
            <control shapeId="45704" r:id="rId21" name="Check Box 8840">
              <controlPr defaultSize="0" autoFill="0" autoLine="0" autoPict="0">
                <anchor>
                  <from>
                    <xdr:col>10</xdr:col>
                    <xdr:colOff>190500</xdr:colOff>
                    <xdr:row>19</xdr:row>
                    <xdr:rowOff>190500</xdr:rowOff>
                  </from>
                  <to>
                    <xdr:col>10</xdr:col>
                    <xdr:colOff>409575</xdr:colOff>
                    <xdr:row>21</xdr:row>
                    <xdr:rowOff>0</xdr:rowOff>
                  </to>
                </anchor>
              </controlPr>
            </control>
          </mc:Choice>
        </mc:AlternateContent>
        <mc:AlternateContent xmlns:mc="http://schemas.openxmlformats.org/markup-compatibility/2006">
          <mc:Choice Requires="x14">
            <control shapeId="45705" r:id="rId22" name="Check Box 8841">
              <controlPr defaultSize="0" autoFill="0" autoLine="0" autoPict="0">
                <anchor>
                  <from>
                    <xdr:col>10</xdr:col>
                    <xdr:colOff>190500</xdr:colOff>
                    <xdr:row>21</xdr:row>
                    <xdr:rowOff>0</xdr:rowOff>
                  </from>
                  <to>
                    <xdr:col>10</xdr:col>
                    <xdr:colOff>409575</xdr:colOff>
                    <xdr:row>22</xdr:row>
                    <xdr:rowOff>9525</xdr:rowOff>
                  </to>
                </anchor>
              </controlPr>
            </control>
          </mc:Choice>
        </mc:AlternateContent>
        <mc:AlternateContent xmlns:mc="http://schemas.openxmlformats.org/markup-compatibility/2006">
          <mc:Choice Requires="x14">
            <control shapeId="45706" r:id="rId23" name="Check Box 8842">
              <controlPr defaultSize="0" autoFill="0" autoLine="0" autoPict="0">
                <anchor>
                  <from>
                    <xdr:col>10</xdr:col>
                    <xdr:colOff>190500</xdr:colOff>
                    <xdr:row>21</xdr:row>
                    <xdr:rowOff>190500</xdr:rowOff>
                  </from>
                  <to>
                    <xdr:col>10</xdr:col>
                    <xdr:colOff>409575</xdr:colOff>
                    <xdr:row>23</xdr:row>
                    <xdr:rowOff>0</xdr:rowOff>
                  </to>
                </anchor>
              </controlPr>
            </control>
          </mc:Choice>
        </mc:AlternateContent>
        <mc:AlternateContent xmlns:mc="http://schemas.openxmlformats.org/markup-compatibility/2006">
          <mc:Choice Requires="x14">
            <control shapeId="45707" r:id="rId24" name="Check Box 8843">
              <controlPr defaultSize="0" autoFill="0" autoLine="0" autoPict="0">
                <anchor>
                  <from>
                    <xdr:col>10</xdr:col>
                    <xdr:colOff>190500</xdr:colOff>
                    <xdr:row>22</xdr:row>
                    <xdr:rowOff>190500</xdr:rowOff>
                  </from>
                  <to>
                    <xdr:col>10</xdr:col>
                    <xdr:colOff>409575</xdr:colOff>
                    <xdr:row>24</xdr:row>
                    <xdr:rowOff>0</xdr:rowOff>
                  </to>
                </anchor>
              </controlPr>
            </control>
          </mc:Choice>
        </mc:AlternateContent>
        <mc:AlternateContent xmlns:mc="http://schemas.openxmlformats.org/markup-compatibility/2006">
          <mc:Choice Requires="x14">
            <control shapeId="45708" r:id="rId25" name="Check Box 8844">
              <controlPr defaultSize="0" autoFill="0" autoLine="0" autoPict="0">
                <anchor>
                  <from>
                    <xdr:col>10</xdr:col>
                    <xdr:colOff>190500</xdr:colOff>
                    <xdr:row>23</xdr:row>
                    <xdr:rowOff>190500</xdr:rowOff>
                  </from>
                  <to>
                    <xdr:col>10</xdr:col>
                    <xdr:colOff>409575</xdr:colOff>
                    <xdr:row>25</xdr:row>
                    <xdr:rowOff>0</xdr:rowOff>
                  </to>
                </anchor>
              </controlPr>
            </control>
          </mc:Choice>
        </mc:AlternateContent>
        <mc:AlternateContent xmlns:mc="http://schemas.openxmlformats.org/markup-compatibility/2006">
          <mc:Choice Requires="x14">
            <control shapeId="45709" r:id="rId26" name="Check Box 8845">
              <controlPr defaultSize="0" autoFill="0" autoLine="0" autoPict="0">
                <anchor>
                  <from>
                    <xdr:col>10</xdr:col>
                    <xdr:colOff>190500</xdr:colOff>
                    <xdr:row>24</xdr:row>
                    <xdr:rowOff>190500</xdr:rowOff>
                  </from>
                  <to>
                    <xdr:col>10</xdr:col>
                    <xdr:colOff>409575</xdr:colOff>
                    <xdr:row>26</xdr:row>
                    <xdr:rowOff>0</xdr:rowOff>
                  </to>
                </anchor>
              </controlPr>
            </control>
          </mc:Choice>
        </mc:AlternateContent>
        <mc:AlternateContent xmlns:mc="http://schemas.openxmlformats.org/markup-compatibility/2006">
          <mc:Choice Requires="x14">
            <control shapeId="45730" r:id="rId27" name="Check Box 8866">
              <controlPr defaultSize="0" autoFill="0" autoLine="0" autoPict="0">
                <anchor>
                  <from>
                    <xdr:col>18</xdr:col>
                    <xdr:colOff>285750</xdr:colOff>
                    <xdr:row>6</xdr:row>
                    <xdr:rowOff>0</xdr:rowOff>
                  </from>
                  <to>
                    <xdr:col>18</xdr:col>
                    <xdr:colOff>504825</xdr:colOff>
                    <xdr:row>7</xdr:row>
                    <xdr:rowOff>9525</xdr:rowOff>
                  </to>
                </anchor>
              </controlPr>
            </control>
          </mc:Choice>
        </mc:AlternateContent>
        <mc:AlternateContent xmlns:mc="http://schemas.openxmlformats.org/markup-compatibility/2006">
          <mc:Choice Requires="x14">
            <control shapeId="45731" r:id="rId28" name="Check Box 8867">
              <controlPr defaultSize="0" autoFill="0" autoLine="0" autoPict="0">
                <anchor>
                  <from>
                    <xdr:col>18</xdr:col>
                    <xdr:colOff>285750</xdr:colOff>
                    <xdr:row>6</xdr:row>
                    <xdr:rowOff>190500</xdr:rowOff>
                  </from>
                  <to>
                    <xdr:col>18</xdr:col>
                    <xdr:colOff>504825</xdr:colOff>
                    <xdr:row>8</xdr:row>
                    <xdr:rowOff>0</xdr:rowOff>
                  </to>
                </anchor>
              </controlPr>
            </control>
          </mc:Choice>
        </mc:AlternateContent>
        <mc:AlternateContent xmlns:mc="http://schemas.openxmlformats.org/markup-compatibility/2006">
          <mc:Choice Requires="x14">
            <control shapeId="45732" r:id="rId29" name="Check Box 8868">
              <controlPr defaultSize="0" autoFill="0" autoLine="0" autoPict="0">
                <anchor>
                  <from>
                    <xdr:col>18</xdr:col>
                    <xdr:colOff>285750</xdr:colOff>
                    <xdr:row>8</xdr:row>
                    <xdr:rowOff>0</xdr:rowOff>
                  </from>
                  <to>
                    <xdr:col>18</xdr:col>
                    <xdr:colOff>504825</xdr:colOff>
                    <xdr:row>9</xdr:row>
                    <xdr:rowOff>9525</xdr:rowOff>
                  </to>
                </anchor>
              </controlPr>
            </control>
          </mc:Choice>
        </mc:AlternateContent>
        <mc:AlternateContent xmlns:mc="http://schemas.openxmlformats.org/markup-compatibility/2006">
          <mc:Choice Requires="x14">
            <control shapeId="45733" r:id="rId30" name="Check Box 8869">
              <controlPr defaultSize="0" autoFill="0" autoLine="0" autoPict="0">
                <anchor>
                  <from>
                    <xdr:col>18</xdr:col>
                    <xdr:colOff>285750</xdr:colOff>
                    <xdr:row>9</xdr:row>
                    <xdr:rowOff>0</xdr:rowOff>
                  </from>
                  <to>
                    <xdr:col>18</xdr:col>
                    <xdr:colOff>504825</xdr:colOff>
                    <xdr:row>10</xdr:row>
                    <xdr:rowOff>9525</xdr:rowOff>
                  </to>
                </anchor>
              </controlPr>
            </control>
          </mc:Choice>
        </mc:AlternateContent>
        <mc:AlternateContent xmlns:mc="http://schemas.openxmlformats.org/markup-compatibility/2006">
          <mc:Choice Requires="x14">
            <control shapeId="45734" r:id="rId31" name="Check Box 8870">
              <controlPr defaultSize="0" autoFill="0" autoLine="0" autoPict="0">
                <anchor>
                  <from>
                    <xdr:col>18</xdr:col>
                    <xdr:colOff>285750</xdr:colOff>
                    <xdr:row>9</xdr:row>
                    <xdr:rowOff>190500</xdr:rowOff>
                  </from>
                  <to>
                    <xdr:col>18</xdr:col>
                    <xdr:colOff>504825</xdr:colOff>
                    <xdr:row>11</xdr:row>
                    <xdr:rowOff>0</xdr:rowOff>
                  </to>
                </anchor>
              </controlPr>
            </control>
          </mc:Choice>
        </mc:AlternateContent>
        <mc:AlternateContent xmlns:mc="http://schemas.openxmlformats.org/markup-compatibility/2006">
          <mc:Choice Requires="x14">
            <control shapeId="45735" r:id="rId32" name="Check Box 8871">
              <controlPr defaultSize="0" autoFill="0" autoLine="0" autoPict="0">
                <anchor>
                  <from>
                    <xdr:col>18</xdr:col>
                    <xdr:colOff>285750</xdr:colOff>
                    <xdr:row>10</xdr:row>
                    <xdr:rowOff>200025</xdr:rowOff>
                  </from>
                  <to>
                    <xdr:col>18</xdr:col>
                    <xdr:colOff>504825</xdr:colOff>
                    <xdr:row>12</xdr:row>
                    <xdr:rowOff>9525</xdr:rowOff>
                  </to>
                </anchor>
              </controlPr>
            </control>
          </mc:Choice>
        </mc:AlternateContent>
        <mc:AlternateContent xmlns:mc="http://schemas.openxmlformats.org/markup-compatibility/2006">
          <mc:Choice Requires="x14">
            <control shapeId="45736" r:id="rId33" name="Check Box 8872">
              <controlPr defaultSize="0" autoFill="0" autoLine="0" autoPict="0">
                <anchor>
                  <from>
                    <xdr:col>18</xdr:col>
                    <xdr:colOff>285750</xdr:colOff>
                    <xdr:row>11</xdr:row>
                    <xdr:rowOff>190500</xdr:rowOff>
                  </from>
                  <to>
                    <xdr:col>18</xdr:col>
                    <xdr:colOff>504825</xdr:colOff>
                    <xdr:row>13</xdr:row>
                    <xdr:rowOff>0</xdr:rowOff>
                  </to>
                </anchor>
              </controlPr>
            </control>
          </mc:Choice>
        </mc:AlternateContent>
        <mc:AlternateContent xmlns:mc="http://schemas.openxmlformats.org/markup-compatibility/2006">
          <mc:Choice Requires="x14">
            <control shapeId="45737" r:id="rId34" name="Check Box 8873">
              <controlPr defaultSize="0" autoFill="0" autoLine="0" autoPict="0">
                <anchor>
                  <from>
                    <xdr:col>18</xdr:col>
                    <xdr:colOff>285750</xdr:colOff>
                    <xdr:row>12</xdr:row>
                    <xdr:rowOff>190500</xdr:rowOff>
                  </from>
                  <to>
                    <xdr:col>18</xdr:col>
                    <xdr:colOff>504825</xdr:colOff>
                    <xdr:row>14</xdr:row>
                    <xdr:rowOff>0</xdr:rowOff>
                  </to>
                </anchor>
              </controlPr>
            </control>
          </mc:Choice>
        </mc:AlternateContent>
        <mc:AlternateContent xmlns:mc="http://schemas.openxmlformats.org/markup-compatibility/2006">
          <mc:Choice Requires="x14">
            <control shapeId="45738" r:id="rId35" name="Check Box 8874">
              <controlPr defaultSize="0" autoFill="0" autoLine="0" autoPict="0">
                <anchor>
                  <from>
                    <xdr:col>18</xdr:col>
                    <xdr:colOff>285750</xdr:colOff>
                    <xdr:row>13</xdr:row>
                    <xdr:rowOff>190500</xdr:rowOff>
                  </from>
                  <to>
                    <xdr:col>18</xdr:col>
                    <xdr:colOff>504825</xdr:colOff>
                    <xdr:row>15</xdr:row>
                    <xdr:rowOff>0</xdr:rowOff>
                  </to>
                </anchor>
              </controlPr>
            </control>
          </mc:Choice>
        </mc:AlternateContent>
        <mc:AlternateContent xmlns:mc="http://schemas.openxmlformats.org/markup-compatibility/2006">
          <mc:Choice Requires="x14">
            <control shapeId="45739" r:id="rId36" name="Check Box 8875">
              <controlPr defaultSize="0" autoFill="0" autoLine="0" autoPict="0">
                <anchor>
                  <from>
                    <xdr:col>18</xdr:col>
                    <xdr:colOff>285750</xdr:colOff>
                    <xdr:row>14</xdr:row>
                    <xdr:rowOff>190500</xdr:rowOff>
                  </from>
                  <to>
                    <xdr:col>18</xdr:col>
                    <xdr:colOff>504825</xdr:colOff>
                    <xdr:row>16</xdr:row>
                    <xdr:rowOff>0</xdr:rowOff>
                  </to>
                </anchor>
              </controlPr>
            </control>
          </mc:Choice>
        </mc:AlternateContent>
        <mc:AlternateContent xmlns:mc="http://schemas.openxmlformats.org/markup-compatibility/2006">
          <mc:Choice Requires="x14">
            <control shapeId="45740" r:id="rId37" name="Check Box 8876">
              <controlPr defaultSize="0" autoFill="0" autoLine="0" autoPict="0">
                <anchor>
                  <from>
                    <xdr:col>18</xdr:col>
                    <xdr:colOff>285750</xdr:colOff>
                    <xdr:row>15</xdr:row>
                    <xdr:rowOff>190500</xdr:rowOff>
                  </from>
                  <to>
                    <xdr:col>18</xdr:col>
                    <xdr:colOff>504825</xdr:colOff>
                    <xdr:row>17</xdr:row>
                    <xdr:rowOff>0</xdr:rowOff>
                  </to>
                </anchor>
              </controlPr>
            </control>
          </mc:Choice>
        </mc:AlternateContent>
        <mc:AlternateContent xmlns:mc="http://schemas.openxmlformats.org/markup-compatibility/2006">
          <mc:Choice Requires="x14">
            <control shapeId="45741" r:id="rId38" name="Check Box 8877">
              <controlPr defaultSize="0" autoFill="0" autoLine="0" autoPict="0">
                <anchor>
                  <from>
                    <xdr:col>18</xdr:col>
                    <xdr:colOff>285750</xdr:colOff>
                    <xdr:row>16</xdr:row>
                    <xdr:rowOff>190500</xdr:rowOff>
                  </from>
                  <to>
                    <xdr:col>18</xdr:col>
                    <xdr:colOff>504825</xdr:colOff>
                    <xdr:row>18</xdr:row>
                    <xdr:rowOff>0</xdr:rowOff>
                  </to>
                </anchor>
              </controlPr>
            </control>
          </mc:Choice>
        </mc:AlternateContent>
        <mc:AlternateContent xmlns:mc="http://schemas.openxmlformats.org/markup-compatibility/2006">
          <mc:Choice Requires="x14">
            <control shapeId="45742" r:id="rId39" name="Check Box 8878">
              <controlPr defaultSize="0" autoFill="0" autoLine="0" autoPict="0">
                <anchor>
                  <from>
                    <xdr:col>18</xdr:col>
                    <xdr:colOff>285750</xdr:colOff>
                    <xdr:row>18</xdr:row>
                    <xdr:rowOff>0</xdr:rowOff>
                  </from>
                  <to>
                    <xdr:col>18</xdr:col>
                    <xdr:colOff>504825</xdr:colOff>
                    <xdr:row>19</xdr:row>
                    <xdr:rowOff>9525</xdr:rowOff>
                  </to>
                </anchor>
              </controlPr>
            </control>
          </mc:Choice>
        </mc:AlternateContent>
        <mc:AlternateContent xmlns:mc="http://schemas.openxmlformats.org/markup-compatibility/2006">
          <mc:Choice Requires="x14">
            <control shapeId="45743" r:id="rId40" name="Check Box 8879">
              <controlPr defaultSize="0" autoFill="0" autoLine="0" autoPict="0">
                <anchor>
                  <from>
                    <xdr:col>18</xdr:col>
                    <xdr:colOff>285750</xdr:colOff>
                    <xdr:row>18</xdr:row>
                    <xdr:rowOff>200025</xdr:rowOff>
                  </from>
                  <to>
                    <xdr:col>18</xdr:col>
                    <xdr:colOff>504825</xdr:colOff>
                    <xdr:row>20</xdr:row>
                    <xdr:rowOff>9525</xdr:rowOff>
                  </to>
                </anchor>
              </controlPr>
            </control>
          </mc:Choice>
        </mc:AlternateContent>
        <mc:AlternateContent xmlns:mc="http://schemas.openxmlformats.org/markup-compatibility/2006">
          <mc:Choice Requires="x14">
            <control shapeId="45744" r:id="rId41" name="Check Box 8880">
              <controlPr defaultSize="0" autoFill="0" autoLine="0" autoPict="0">
                <anchor>
                  <from>
                    <xdr:col>18</xdr:col>
                    <xdr:colOff>285750</xdr:colOff>
                    <xdr:row>19</xdr:row>
                    <xdr:rowOff>190500</xdr:rowOff>
                  </from>
                  <to>
                    <xdr:col>18</xdr:col>
                    <xdr:colOff>504825</xdr:colOff>
                    <xdr:row>21</xdr:row>
                    <xdr:rowOff>0</xdr:rowOff>
                  </to>
                </anchor>
              </controlPr>
            </control>
          </mc:Choice>
        </mc:AlternateContent>
        <mc:AlternateContent xmlns:mc="http://schemas.openxmlformats.org/markup-compatibility/2006">
          <mc:Choice Requires="x14">
            <control shapeId="45745" r:id="rId42" name="Check Box 8881">
              <controlPr defaultSize="0" autoFill="0" autoLine="0" autoPict="0">
                <anchor>
                  <from>
                    <xdr:col>18</xdr:col>
                    <xdr:colOff>285750</xdr:colOff>
                    <xdr:row>21</xdr:row>
                    <xdr:rowOff>0</xdr:rowOff>
                  </from>
                  <to>
                    <xdr:col>18</xdr:col>
                    <xdr:colOff>504825</xdr:colOff>
                    <xdr:row>22</xdr:row>
                    <xdr:rowOff>9525</xdr:rowOff>
                  </to>
                </anchor>
              </controlPr>
            </control>
          </mc:Choice>
        </mc:AlternateContent>
        <mc:AlternateContent xmlns:mc="http://schemas.openxmlformats.org/markup-compatibility/2006">
          <mc:Choice Requires="x14">
            <control shapeId="45746" r:id="rId43" name="Check Box 8882">
              <controlPr defaultSize="0" autoFill="0" autoLine="0" autoPict="0">
                <anchor>
                  <from>
                    <xdr:col>18</xdr:col>
                    <xdr:colOff>285750</xdr:colOff>
                    <xdr:row>21</xdr:row>
                    <xdr:rowOff>190500</xdr:rowOff>
                  </from>
                  <to>
                    <xdr:col>18</xdr:col>
                    <xdr:colOff>504825</xdr:colOff>
                    <xdr:row>23</xdr:row>
                    <xdr:rowOff>0</xdr:rowOff>
                  </to>
                </anchor>
              </controlPr>
            </control>
          </mc:Choice>
        </mc:AlternateContent>
        <mc:AlternateContent xmlns:mc="http://schemas.openxmlformats.org/markup-compatibility/2006">
          <mc:Choice Requires="x14">
            <control shapeId="45747" r:id="rId44" name="Check Box 8883">
              <controlPr defaultSize="0" autoFill="0" autoLine="0" autoPict="0">
                <anchor>
                  <from>
                    <xdr:col>18</xdr:col>
                    <xdr:colOff>285750</xdr:colOff>
                    <xdr:row>22</xdr:row>
                    <xdr:rowOff>190500</xdr:rowOff>
                  </from>
                  <to>
                    <xdr:col>18</xdr:col>
                    <xdr:colOff>504825</xdr:colOff>
                    <xdr:row>24</xdr:row>
                    <xdr:rowOff>0</xdr:rowOff>
                  </to>
                </anchor>
              </controlPr>
            </control>
          </mc:Choice>
        </mc:AlternateContent>
        <mc:AlternateContent xmlns:mc="http://schemas.openxmlformats.org/markup-compatibility/2006">
          <mc:Choice Requires="x14">
            <control shapeId="45748" r:id="rId45" name="Check Box 8884">
              <controlPr defaultSize="0" autoFill="0" autoLine="0" autoPict="0">
                <anchor>
                  <from>
                    <xdr:col>18</xdr:col>
                    <xdr:colOff>285750</xdr:colOff>
                    <xdr:row>23</xdr:row>
                    <xdr:rowOff>190500</xdr:rowOff>
                  </from>
                  <to>
                    <xdr:col>18</xdr:col>
                    <xdr:colOff>504825</xdr:colOff>
                    <xdr:row>25</xdr:row>
                    <xdr:rowOff>0</xdr:rowOff>
                  </to>
                </anchor>
              </controlPr>
            </control>
          </mc:Choice>
        </mc:AlternateContent>
        <mc:AlternateContent xmlns:mc="http://schemas.openxmlformats.org/markup-compatibility/2006">
          <mc:Choice Requires="x14">
            <control shapeId="45749" r:id="rId46" name="Check Box 8885">
              <controlPr defaultSize="0" autoFill="0" autoLine="0" autoPict="0">
                <anchor>
                  <from>
                    <xdr:col>18</xdr:col>
                    <xdr:colOff>285750</xdr:colOff>
                    <xdr:row>24</xdr:row>
                    <xdr:rowOff>190500</xdr:rowOff>
                  </from>
                  <to>
                    <xdr:col>18</xdr:col>
                    <xdr:colOff>504825</xdr:colOff>
                    <xdr:row>26</xdr:row>
                    <xdr:rowOff>0</xdr:rowOff>
                  </to>
                </anchor>
              </controlPr>
            </control>
          </mc:Choice>
        </mc:AlternateContent>
        <mc:AlternateContent xmlns:mc="http://schemas.openxmlformats.org/markup-compatibility/2006">
          <mc:Choice Requires="x14">
            <control shapeId="17277" r:id="rId47" name="LeftSide">
              <controlPr locked="0" defaultSize="0" autoFill="0" autoLine="0" autoPict="0" altText="Sides">
                <anchor moveWithCells="1" sizeWithCells="1">
                  <from>
                    <xdr:col>19</xdr:col>
                    <xdr:colOff>333375</xdr:colOff>
                    <xdr:row>6</xdr:row>
                    <xdr:rowOff>9525</xdr:rowOff>
                  </from>
                  <to>
                    <xdr:col>19</xdr:col>
                    <xdr:colOff>466725</xdr:colOff>
                    <xdr:row>6</xdr:row>
                    <xdr:rowOff>180975</xdr:rowOff>
                  </to>
                </anchor>
              </controlPr>
            </control>
          </mc:Choice>
        </mc:AlternateContent>
        <mc:AlternateContent xmlns:mc="http://schemas.openxmlformats.org/markup-compatibility/2006">
          <mc:Choice Requires="x14">
            <control shapeId="17280" r:id="rId48" name="RightSide">
              <controlPr defaultSize="0" autoFill="0" autoLine="0" autoPict="0" altText="Sides">
                <anchor moveWithCells="1" sizeWithCells="1">
                  <from>
                    <xdr:col>19</xdr:col>
                    <xdr:colOff>504825</xdr:colOff>
                    <xdr:row>6</xdr:row>
                    <xdr:rowOff>9525</xdr:rowOff>
                  </from>
                  <to>
                    <xdr:col>19</xdr:col>
                    <xdr:colOff>638175</xdr:colOff>
                    <xdr:row>6</xdr:row>
                    <xdr:rowOff>180975</xdr:rowOff>
                  </to>
                </anchor>
              </controlPr>
            </control>
          </mc:Choice>
        </mc:AlternateContent>
        <mc:AlternateContent xmlns:mc="http://schemas.openxmlformats.org/markup-compatibility/2006">
          <mc:Choice Requires="x14">
            <control shapeId="17281" r:id="rId49" name="TopSide">
              <controlPr defaultSize="0" autoFill="0" autoLine="0" autoPict="0" altText="Sides">
                <anchor moveWithCells="1" sizeWithCells="1">
                  <from>
                    <xdr:col>19</xdr:col>
                    <xdr:colOff>0</xdr:colOff>
                    <xdr:row>6</xdr:row>
                    <xdr:rowOff>9525</xdr:rowOff>
                  </from>
                  <to>
                    <xdr:col>19</xdr:col>
                    <xdr:colOff>133350</xdr:colOff>
                    <xdr:row>6</xdr:row>
                    <xdr:rowOff>180975</xdr:rowOff>
                  </to>
                </anchor>
              </controlPr>
            </control>
          </mc:Choice>
        </mc:AlternateContent>
        <mc:AlternateContent xmlns:mc="http://schemas.openxmlformats.org/markup-compatibility/2006">
          <mc:Choice Requires="x14">
            <control shapeId="17282" r:id="rId50" name="BottomSide">
              <controlPr defaultSize="0" autoFill="0" autoLine="0" autoPict="0" altText="Sides">
                <anchor moveWithCells="1" sizeWithCells="1">
                  <from>
                    <xdr:col>19</xdr:col>
                    <xdr:colOff>171450</xdr:colOff>
                    <xdr:row>6</xdr:row>
                    <xdr:rowOff>9525</xdr:rowOff>
                  </from>
                  <to>
                    <xdr:col>19</xdr:col>
                    <xdr:colOff>304800</xdr:colOff>
                    <xdr:row>6</xdr:row>
                    <xdr:rowOff>180975</xdr:rowOff>
                  </to>
                </anchor>
              </controlPr>
            </control>
          </mc:Choice>
        </mc:AlternateContent>
        <mc:AlternateContent xmlns:mc="http://schemas.openxmlformats.org/markup-compatibility/2006">
          <mc:Choice Requires="x14">
            <control shapeId="17289" r:id="rId51" name="LeftSide">
              <controlPr locked="0" defaultSize="0" autoFill="0" autoLine="0" autoPict="0" altText="Sides">
                <anchor moveWithCells="1" sizeWithCells="1">
                  <from>
                    <xdr:col>19</xdr:col>
                    <xdr:colOff>333375</xdr:colOff>
                    <xdr:row>7</xdr:row>
                    <xdr:rowOff>0</xdr:rowOff>
                  </from>
                  <to>
                    <xdr:col>19</xdr:col>
                    <xdr:colOff>466725</xdr:colOff>
                    <xdr:row>7</xdr:row>
                    <xdr:rowOff>171450</xdr:rowOff>
                  </to>
                </anchor>
              </controlPr>
            </control>
          </mc:Choice>
        </mc:AlternateContent>
        <mc:AlternateContent xmlns:mc="http://schemas.openxmlformats.org/markup-compatibility/2006">
          <mc:Choice Requires="x14">
            <control shapeId="17290" r:id="rId52" name="RightSide">
              <controlPr defaultSize="0" autoFill="0" autoLine="0" autoPict="0" altText="Sides">
                <anchor moveWithCells="1" sizeWithCells="1">
                  <from>
                    <xdr:col>19</xdr:col>
                    <xdr:colOff>495300</xdr:colOff>
                    <xdr:row>7</xdr:row>
                    <xdr:rowOff>0</xdr:rowOff>
                  </from>
                  <to>
                    <xdr:col>19</xdr:col>
                    <xdr:colOff>628650</xdr:colOff>
                    <xdr:row>7</xdr:row>
                    <xdr:rowOff>171450</xdr:rowOff>
                  </to>
                </anchor>
              </controlPr>
            </control>
          </mc:Choice>
        </mc:AlternateContent>
        <mc:AlternateContent xmlns:mc="http://schemas.openxmlformats.org/markup-compatibility/2006">
          <mc:Choice Requires="x14">
            <control shapeId="17291" r:id="rId53" name="TopSide">
              <controlPr defaultSize="0" autoFill="0" autoLine="0" autoPict="0" altText="Sides">
                <anchor moveWithCells="1" sizeWithCells="1">
                  <from>
                    <xdr:col>19</xdr:col>
                    <xdr:colOff>0</xdr:colOff>
                    <xdr:row>7</xdr:row>
                    <xdr:rowOff>0</xdr:rowOff>
                  </from>
                  <to>
                    <xdr:col>19</xdr:col>
                    <xdr:colOff>133350</xdr:colOff>
                    <xdr:row>7</xdr:row>
                    <xdr:rowOff>171450</xdr:rowOff>
                  </to>
                </anchor>
              </controlPr>
            </control>
          </mc:Choice>
        </mc:AlternateContent>
        <mc:AlternateContent xmlns:mc="http://schemas.openxmlformats.org/markup-compatibility/2006">
          <mc:Choice Requires="x14">
            <control shapeId="17292" r:id="rId54" name="BottomSide">
              <controlPr defaultSize="0" autoFill="0" autoLine="0" autoPict="0" altText="Sides">
                <anchor moveWithCells="1" sizeWithCells="1">
                  <from>
                    <xdr:col>19</xdr:col>
                    <xdr:colOff>161925</xdr:colOff>
                    <xdr:row>7</xdr:row>
                    <xdr:rowOff>0</xdr:rowOff>
                  </from>
                  <to>
                    <xdr:col>19</xdr:col>
                    <xdr:colOff>295275</xdr:colOff>
                    <xdr:row>7</xdr:row>
                    <xdr:rowOff>171450</xdr:rowOff>
                  </to>
                </anchor>
              </controlPr>
            </control>
          </mc:Choice>
        </mc:AlternateContent>
        <mc:AlternateContent xmlns:mc="http://schemas.openxmlformats.org/markup-compatibility/2006">
          <mc:Choice Requires="x14">
            <control shapeId="17293" r:id="rId55" name="LeftSide">
              <controlPr locked="0" defaultSize="0" autoFill="0" autoLine="0" autoPict="0" altText="Sides">
                <anchor moveWithCells="1" sizeWithCells="1">
                  <from>
                    <xdr:col>19</xdr:col>
                    <xdr:colOff>333375</xdr:colOff>
                    <xdr:row>8</xdr:row>
                    <xdr:rowOff>9525</xdr:rowOff>
                  </from>
                  <to>
                    <xdr:col>19</xdr:col>
                    <xdr:colOff>466725</xdr:colOff>
                    <xdr:row>8</xdr:row>
                    <xdr:rowOff>171450</xdr:rowOff>
                  </to>
                </anchor>
              </controlPr>
            </control>
          </mc:Choice>
        </mc:AlternateContent>
        <mc:AlternateContent xmlns:mc="http://schemas.openxmlformats.org/markup-compatibility/2006">
          <mc:Choice Requires="x14">
            <control shapeId="17294" r:id="rId56" name="RightSide">
              <controlPr defaultSize="0" autoFill="0" autoLine="0" autoPict="0" altText="Sides">
                <anchor moveWithCells="1" sizeWithCells="1">
                  <from>
                    <xdr:col>19</xdr:col>
                    <xdr:colOff>495300</xdr:colOff>
                    <xdr:row>8</xdr:row>
                    <xdr:rowOff>9525</xdr:rowOff>
                  </from>
                  <to>
                    <xdr:col>19</xdr:col>
                    <xdr:colOff>628650</xdr:colOff>
                    <xdr:row>8</xdr:row>
                    <xdr:rowOff>171450</xdr:rowOff>
                  </to>
                </anchor>
              </controlPr>
            </control>
          </mc:Choice>
        </mc:AlternateContent>
        <mc:AlternateContent xmlns:mc="http://schemas.openxmlformats.org/markup-compatibility/2006">
          <mc:Choice Requires="x14">
            <control shapeId="17295" r:id="rId57" name="TopSide">
              <controlPr defaultSize="0" autoFill="0" autoLine="0" autoPict="0" altText="Sides">
                <anchor moveWithCells="1" sizeWithCells="1">
                  <from>
                    <xdr:col>19</xdr:col>
                    <xdr:colOff>0</xdr:colOff>
                    <xdr:row>8</xdr:row>
                    <xdr:rowOff>9525</xdr:rowOff>
                  </from>
                  <to>
                    <xdr:col>19</xdr:col>
                    <xdr:colOff>133350</xdr:colOff>
                    <xdr:row>8</xdr:row>
                    <xdr:rowOff>171450</xdr:rowOff>
                  </to>
                </anchor>
              </controlPr>
            </control>
          </mc:Choice>
        </mc:AlternateContent>
        <mc:AlternateContent xmlns:mc="http://schemas.openxmlformats.org/markup-compatibility/2006">
          <mc:Choice Requires="x14">
            <control shapeId="17296" r:id="rId58" name="BottomSide">
              <controlPr defaultSize="0" autoFill="0" autoLine="0" autoPict="0" altText="Sides">
                <anchor moveWithCells="1" sizeWithCells="1">
                  <from>
                    <xdr:col>19</xdr:col>
                    <xdr:colOff>161925</xdr:colOff>
                    <xdr:row>8</xdr:row>
                    <xdr:rowOff>9525</xdr:rowOff>
                  </from>
                  <to>
                    <xdr:col>19</xdr:col>
                    <xdr:colOff>295275</xdr:colOff>
                    <xdr:row>8</xdr:row>
                    <xdr:rowOff>171450</xdr:rowOff>
                  </to>
                </anchor>
              </controlPr>
            </control>
          </mc:Choice>
        </mc:AlternateContent>
        <mc:AlternateContent xmlns:mc="http://schemas.openxmlformats.org/markup-compatibility/2006">
          <mc:Choice Requires="x14">
            <control shapeId="17297" r:id="rId59" name="LeftSide">
              <controlPr locked="0" defaultSize="0" autoFill="0" autoLine="0" autoPict="0" altText="Sides">
                <anchor moveWithCells="1" sizeWithCells="1">
                  <from>
                    <xdr:col>19</xdr:col>
                    <xdr:colOff>333375</xdr:colOff>
                    <xdr:row>9</xdr:row>
                    <xdr:rowOff>9525</xdr:rowOff>
                  </from>
                  <to>
                    <xdr:col>19</xdr:col>
                    <xdr:colOff>466725</xdr:colOff>
                    <xdr:row>9</xdr:row>
                    <xdr:rowOff>171450</xdr:rowOff>
                  </to>
                </anchor>
              </controlPr>
            </control>
          </mc:Choice>
        </mc:AlternateContent>
        <mc:AlternateContent xmlns:mc="http://schemas.openxmlformats.org/markup-compatibility/2006">
          <mc:Choice Requires="x14">
            <control shapeId="17298" r:id="rId60" name="RightSide">
              <controlPr defaultSize="0" autoFill="0" autoLine="0" autoPict="0" altText="Sides">
                <anchor moveWithCells="1" sizeWithCells="1">
                  <from>
                    <xdr:col>19</xdr:col>
                    <xdr:colOff>495300</xdr:colOff>
                    <xdr:row>9</xdr:row>
                    <xdr:rowOff>9525</xdr:rowOff>
                  </from>
                  <to>
                    <xdr:col>19</xdr:col>
                    <xdr:colOff>628650</xdr:colOff>
                    <xdr:row>9</xdr:row>
                    <xdr:rowOff>171450</xdr:rowOff>
                  </to>
                </anchor>
              </controlPr>
            </control>
          </mc:Choice>
        </mc:AlternateContent>
        <mc:AlternateContent xmlns:mc="http://schemas.openxmlformats.org/markup-compatibility/2006">
          <mc:Choice Requires="x14">
            <control shapeId="17299" r:id="rId61" name="TopSide">
              <controlPr defaultSize="0" autoFill="0" autoLine="0" autoPict="0" altText="Sides">
                <anchor moveWithCells="1" sizeWithCells="1">
                  <from>
                    <xdr:col>19</xdr:col>
                    <xdr:colOff>0</xdr:colOff>
                    <xdr:row>9</xdr:row>
                    <xdr:rowOff>9525</xdr:rowOff>
                  </from>
                  <to>
                    <xdr:col>19</xdr:col>
                    <xdr:colOff>133350</xdr:colOff>
                    <xdr:row>9</xdr:row>
                    <xdr:rowOff>171450</xdr:rowOff>
                  </to>
                </anchor>
              </controlPr>
            </control>
          </mc:Choice>
        </mc:AlternateContent>
        <mc:AlternateContent xmlns:mc="http://schemas.openxmlformats.org/markup-compatibility/2006">
          <mc:Choice Requires="x14">
            <control shapeId="17300" r:id="rId62" name="BottomSide">
              <controlPr defaultSize="0" autoFill="0" autoLine="0" autoPict="0" altText="Sides">
                <anchor moveWithCells="1" sizeWithCells="1">
                  <from>
                    <xdr:col>19</xdr:col>
                    <xdr:colOff>161925</xdr:colOff>
                    <xdr:row>9</xdr:row>
                    <xdr:rowOff>9525</xdr:rowOff>
                  </from>
                  <to>
                    <xdr:col>19</xdr:col>
                    <xdr:colOff>295275</xdr:colOff>
                    <xdr:row>9</xdr:row>
                    <xdr:rowOff>171450</xdr:rowOff>
                  </to>
                </anchor>
              </controlPr>
            </control>
          </mc:Choice>
        </mc:AlternateContent>
        <mc:AlternateContent xmlns:mc="http://schemas.openxmlformats.org/markup-compatibility/2006">
          <mc:Choice Requires="x14">
            <control shapeId="17301" r:id="rId63" name="LeftSide">
              <controlPr locked="0" defaultSize="0" autoFill="0" autoLine="0" autoPict="0" altText="Sides">
                <anchor moveWithCells="1" sizeWithCells="1">
                  <from>
                    <xdr:col>19</xdr:col>
                    <xdr:colOff>333375</xdr:colOff>
                    <xdr:row>10</xdr:row>
                    <xdr:rowOff>9525</xdr:rowOff>
                  </from>
                  <to>
                    <xdr:col>19</xdr:col>
                    <xdr:colOff>466725</xdr:colOff>
                    <xdr:row>10</xdr:row>
                    <xdr:rowOff>180975</xdr:rowOff>
                  </to>
                </anchor>
              </controlPr>
            </control>
          </mc:Choice>
        </mc:AlternateContent>
        <mc:AlternateContent xmlns:mc="http://schemas.openxmlformats.org/markup-compatibility/2006">
          <mc:Choice Requires="x14">
            <control shapeId="17302" r:id="rId64" name="RightSide">
              <controlPr defaultSize="0" autoFill="0" autoLine="0" autoPict="0" altText="Sides">
                <anchor moveWithCells="1" sizeWithCells="1">
                  <from>
                    <xdr:col>19</xdr:col>
                    <xdr:colOff>495300</xdr:colOff>
                    <xdr:row>10</xdr:row>
                    <xdr:rowOff>9525</xdr:rowOff>
                  </from>
                  <to>
                    <xdr:col>19</xdr:col>
                    <xdr:colOff>628650</xdr:colOff>
                    <xdr:row>10</xdr:row>
                    <xdr:rowOff>180975</xdr:rowOff>
                  </to>
                </anchor>
              </controlPr>
            </control>
          </mc:Choice>
        </mc:AlternateContent>
        <mc:AlternateContent xmlns:mc="http://schemas.openxmlformats.org/markup-compatibility/2006">
          <mc:Choice Requires="x14">
            <control shapeId="17303" r:id="rId65" name="TopSide">
              <controlPr defaultSize="0" autoFill="0" autoLine="0" autoPict="0" altText="Sides">
                <anchor moveWithCells="1" sizeWithCells="1">
                  <from>
                    <xdr:col>19</xdr:col>
                    <xdr:colOff>0</xdr:colOff>
                    <xdr:row>10</xdr:row>
                    <xdr:rowOff>9525</xdr:rowOff>
                  </from>
                  <to>
                    <xdr:col>19</xdr:col>
                    <xdr:colOff>133350</xdr:colOff>
                    <xdr:row>10</xdr:row>
                    <xdr:rowOff>180975</xdr:rowOff>
                  </to>
                </anchor>
              </controlPr>
            </control>
          </mc:Choice>
        </mc:AlternateContent>
        <mc:AlternateContent xmlns:mc="http://schemas.openxmlformats.org/markup-compatibility/2006">
          <mc:Choice Requires="x14">
            <control shapeId="17304" r:id="rId66" name="BottomSide">
              <controlPr defaultSize="0" autoFill="0" autoLine="0" autoPict="0" altText="Sides">
                <anchor moveWithCells="1" sizeWithCells="1">
                  <from>
                    <xdr:col>19</xdr:col>
                    <xdr:colOff>161925</xdr:colOff>
                    <xdr:row>10</xdr:row>
                    <xdr:rowOff>9525</xdr:rowOff>
                  </from>
                  <to>
                    <xdr:col>19</xdr:col>
                    <xdr:colOff>295275</xdr:colOff>
                    <xdr:row>10</xdr:row>
                    <xdr:rowOff>180975</xdr:rowOff>
                  </to>
                </anchor>
              </controlPr>
            </control>
          </mc:Choice>
        </mc:AlternateContent>
        <mc:AlternateContent xmlns:mc="http://schemas.openxmlformats.org/markup-compatibility/2006">
          <mc:Choice Requires="x14">
            <control shapeId="17305" r:id="rId67" name="LeftSide">
              <controlPr locked="0" defaultSize="0" autoFill="0" autoLine="0" autoPict="0" altText="Sides">
                <anchor moveWithCells="1" sizeWithCells="1">
                  <from>
                    <xdr:col>19</xdr:col>
                    <xdr:colOff>333375</xdr:colOff>
                    <xdr:row>11</xdr:row>
                    <xdr:rowOff>9525</xdr:rowOff>
                  </from>
                  <to>
                    <xdr:col>19</xdr:col>
                    <xdr:colOff>466725</xdr:colOff>
                    <xdr:row>11</xdr:row>
                    <xdr:rowOff>180975</xdr:rowOff>
                  </to>
                </anchor>
              </controlPr>
            </control>
          </mc:Choice>
        </mc:AlternateContent>
        <mc:AlternateContent xmlns:mc="http://schemas.openxmlformats.org/markup-compatibility/2006">
          <mc:Choice Requires="x14">
            <control shapeId="17306" r:id="rId68" name="RightSide">
              <controlPr defaultSize="0" autoFill="0" autoLine="0" autoPict="0" altText="Sides">
                <anchor moveWithCells="1" sizeWithCells="1">
                  <from>
                    <xdr:col>19</xdr:col>
                    <xdr:colOff>495300</xdr:colOff>
                    <xdr:row>11</xdr:row>
                    <xdr:rowOff>9525</xdr:rowOff>
                  </from>
                  <to>
                    <xdr:col>19</xdr:col>
                    <xdr:colOff>628650</xdr:colOff>
                    <xdr:row>11</xdr:row>
                    <xdr:rowOff>180975</xdr:rowOff>
                  </to>
                </anchor>
              </controlPr>
            </control>
          </mc:Choice>
        </mc:AlternateContent>
        <mc:AlternateContent xmlns:mc="http://schemas.openxmlformats.org/markup-compatibility/2006">
          <mc:Choice Requires="x14">
            <control shapeId="17307" r:id="rId69" name="TopSide">
              <controlPr defaultSize="0" autoFill="0" autoLine="0" autoPict="0" altText="Sides">
                <anchor moveWithCells="1" sizeWithCells="1">
                  <from>
                    <xdr:col>19</xdr:col>
                    <xdr:colOff>0</xdr:colOff>
                    <xdr:row>11</xdr:row>
                    <xdr:rowOff>9525</xdr:rowOff>
                  </from>
                  <to>
                    <xdr:col>19</xdr:col>
                    <xdr:colOff>133350</xdr:colOff>
                    <xdr:row>11</xdr:row>
                    <xdr:rowOff>180975</xdr:rowOff>
                  </to>
                </anchor>
              </controlPr>
            </control>
          </mc:Choice>
        </mc:AlternateContent>
        <mc:AlternateContent xmlns:mc="http://schemas.openxmlformats.org/markup-compatibility/2006">
          <mc:Choice Requires="x14">
            <control shapeId="17308" r:id="rId70" name="BottomSide">
              <controlPr defaultSize="0" autoFill="0" autoLine="0" autoPict="0" altText="Sides">
                <anchor moveWithCells="1" sizeWithCells="1">
                  <from>
                    <xdr:col>19</xdr:col>
                    <xdr:colOff>161925</xdr:colOff>
                    <xdr:row>11</xdr:row>
                    <xdr:rowOff>9525</xdr:rowOff>
                  </from>
                  <to>
                    <xdr:col>19</xdr:col>
                    <xdr:colOff>295275</xdr:colOff>
                    <xdr:row>11</xdr:row>
                    <xdr:rowOff>180975</xdr:rowOff>
                  </to>
                </anchor>
              </controlPr>
            </control>
          </mc:Choice>
        </mc:AlternateContent>
        <mc:AlternateContent xmlns:mc="http://schemas.openxmlformats.org/markup-compatibility/2006">
          <mc:Choice Requires="x14">
            <control shapeId="17309" r:id="rId71" name="LeftSide">
              <controlPr locked="0" defaultSize="0" autoFill="0" autoLine="0" autoPict="0" altText="Sides">
                <anchor moveWithCells="1" sizeWithCells="1">
                  <from>
                    <xdr:col>19</xdr:col>
                    <xdr:colOff>333375</xdr:colOff>
                    <xdr:row>12</xdr:row>
                    <xdr:rowOff>9525</xdr:rowOff>
                  </from>
                  <to>
                    <xdr:col>19</xdr:col>
                    <xdr:colOff>466725</xdr:colOff>
                    <xdr:row>12</xdr:row>
                    <xdr:rowOff>180975</xdr:rowOff>
                  </to>
                </anchor>
              </controlPr>
            </control>
          </mc:Choice>
        </mc:AlternateContent>
        <mc:AlternateContent xmlns:mc="http://schemas.openxmlformats.org/markup-compatibility/2006">
          <mc:Choice Requires="x14">
            <control shapeId="17310" r:id="rId72" name="RightSide">
              <controlPr defaultSize="0" autoFill="0" autoLine="0" autoPict="0" altText="Sides">
                <anchor moveWithCells="1" sizeWithCells="1">
                  <from>
                    <xdr:col>19</xdr:col>
                    <xdr:colOff>495300</xdr:colOff>
                    <xdr:row>12</xdr:row>
                    <xdr:rowOff>9525</xdr:rowOff>
                  </from>
                  <to>
                    <xdr:col>19</xdr:col>
                    <xdr:colOff>628650</xdr:colOff>
                    <xdr:row>12</xdr:row>
                    <xdr:rowOff>180975</xdr:rowOff>
                  </to>
                </anchor>
              </controlPr>
            </control>
          </mc:Choice>
        </mc:AlternateContent>
        <mc:AlternateContent xmlns:mc="http://schemas.openxmlformats.org/markup-compatibility/2006">
          <mc:Choice Requires="x14">
            <control shapeId="17311" r:id="rId73" name="TopSide">
              <controlPr defaultSize="0" autoFill="0" autoLine="0" autoPict="0" altText="Sides">
                <anchor moveWithCells="1" sizeWithCells="1">
                  <from>
                    <xdr:col>19</xdr:col>
                    <xdr:colOff>0</xdr:colOff>
                    <xdr:row>12</xdr:row>
                    <xdr:rowOff>9525</xdr:rowOff>
                  </from>
                  <to>
                    <xdr:col>19</xdr:col>
                    <xdr:colOff>133350</xdr:colOff>
                    <xdr:row>12</xdr:row>
                    <xdr:rowOff>180975</xdr:rowOff>
                  </to>
                </anchor>
              </controlPr>
            </control>
          </mc:Choice>
        </mc:AlternateContent>
        <mc:AlternateContent xmlns:mc="http://schemas.openxmlformats.org/markup-compatibility/2006">
          <mc:Choice Requires="x14">
            <control shapeId="17312" r:id="rId74" name="BottomSide">
              <controlPr defaultSize="0" autoFill="0" autoLine="0" autoPict="0" altText="Sides">
                <anchor moveWithCells="1" sizeWithCells="1">
                  <from>
                    <xdr:col>19</xdr:col>
                    <xdr:colOff>161925</xdr:colOff>
                    <xdr:row>12</xdr:row>
                    <xdr:rowOff>9525</xdr:rowOff>
                  </from>
                  <to>
                    <xdr:col>19</xdr:col>
                    <xdr:colOff>295275</xdr:colOff>
                    <xdr:row>12</xdr:row>
                    <xdr:rowOff>180975</xdr:rowOff>
                  </to>
                </anchor>
              </controlPr>
            </control>
          </mc:Choice>
        </mc:AlternateContent>
        <mc:AlternateContent xmlns:mc="http://schemas.openxmlformats.org/markup-compatibility/2006">
          <mc:Choice Requires="x14">
            <control shapeId="17313" r:id="rId75" name="LeftSide">
              <controlPr locked="0" defaultSize="0" autoFill="0" autoLine="0" autoPict="0" altText="Sides">
                <anchor moveWithCells="1" sizeWithCells="1">
                  <from>
                    <xdr:col>19</xdr:col>
                    <xdr:colOff>333375</xdr:colOff>
                    <xdr:row>13</xdr:row>
                    <xdr:rowOff>9525</xdr:rowOff>
                  </from>
                  <to>
                    <xdr:col>19</xdr:col>
                    <xdr:colOff>466725</xdr:colOff>
                    <xdr:row>13</xdr:row>
                    <xdr:rowOff>180975</xdr:rowOff>
                  </to>
                </anchor>
              </controlPr>
            </control>
          </mc:Choice>
        </mc:AlternateContent>
        <mc:AlternateContent xmlns:mc="http://schemas.openxmlformats.org/markup-compatibility/2006">
          <mc:Choice Requires="x14">
            <control shapeId="17314" r:id="rId76" name="RightSide">
              <controlPr defaultSize="0" autoFill="0" autoLine="0" autoPict="0" altText="Sides">
                <anchor moveWithCells="1" sizeWithCells="1">
                  <from>
                    <xdr:col>19</xdr:col>
                    <xdr:colOff>495300</xdr:colOff>
                    <xdr:row>13</xdr:row>
                    <xdr:rowOff>9525</xdr:rowOff>
                  </from>
                  <to>
                    <xdr:col>19</xdr:col>
                    <xdr:colOff>628650</xdr:colOff>
                    <xdr:row>13</xdr:row>
                    <xdr:rowOff>180975</xdr:rowOff>
                  </to>
                </anchor>
              </controlPr>
            </control>
          </mc:Choice>
        </mc:AlternateContent>
        <mc:AlternateContent xmlns:mc="http://schemas.openxmlformats.org/markup-compatibility/2006">
          <mc:Choice Requires="x14">
            <control shapeId="17315" r:id="rId77" name="TopSide">
              <controlPr defaultSize="0" autoFill="0" autoLine="0" autoPict="0" altText="Sides">
                <anchor moveWithCells="1" sizeWithCells="1">
                  <from>
                    <xdr:col>19</xdr:col>
                    <xdr:colOff>0</xdr:colOff>
                    <xdr:row>13</xdr:row>
                    <xdr:rowOff>9525</xdr:rowOff>
                  </from>
                  <to>
                    <xdr:col>19</xdr:col>
                    <xdr:colOff>133350</xdr:colOff>
                    <xdr:row>13</xdr:row>
                    <xdr:rowOff>180975</xdr:rowOff>
                  </to>
                </anchor>
              </controlPr>
            </control>
          </mc:Choice>
        </mc:AlternateContent>
        <mc:AlternateContent xmlns:mc="http://schemas.openxmlformats.org/markup-compatibility/2006">
          <mc:Choice Requires="x14">
            <control shapeId="17316" r:id="rId78" name="BottomSide">
              <controlPr defaultSize="0" autoFill="0" autoLine="0" autoPict="0" altText="Sides">
                <anchor moveWithCells="1" sizeWithCells="1">
                  <from>
                    <xdr:col>19</xdr:col>
                    <xdr:colOff>161925</xdr:colOff>
                    <xdr:row>13</xdr:row>
                    <xdr:rowOff>9525</xdr:rowOff>
                  </from>
                  <to>
                    <xdr:col>19</xdr:col>
                    <xdr:colOff>295275</xdr:colOff>
                    <xdr:row>13</xdr:row>
                    <xdr:rowOff>180975</xdr:rowOff>
                  </to>
                </anchor>
              </controlPr>
            </control>
          </mc:Choice>
        </mc:AlternateContent>
        <mc:AlternateContent xmlns:mc="http://schemas.openxmlformats.org/markup-compatibility/2006">
          <mc:Choice Requires="x14">
            <control shapeId="17317" r:id="rId79" name="LeftSide">
              <controlPr locked="0" defaultSize="0" autoFill="0" autoLine="0" autoPict="0" altText="Sides">
                <anchor moveWithCells="1" sizeWithCells="1">
                  <from>
                    <xdr:col>19</xdr:col>
                    <xdr:colOff>333375</xdr:colOff>
                    <xdr:row>14</xdr:row>
                    <xdr:rowOff>9525</xdr:rowOff>
                  </from>
                  <to>
                    <xdr:col>19</xdr:col>
                    <xdr:colOff>466725</xdr:colOff>
                    <xdr:row>14</xdr:row>
                    <xdr:rowOff>180975</xdr:rowOff>
                  </to>
                </anchor>
              </controlPr>
            </control>
          </mc:Choice>
        </mc:AlternateContent>
        <mc:AlternateContent xmlns:mc="http://schemas.openxmlformats.org/markup-compatibility/2006">
          <mc:Choice Requires="x14">
            <control shapeId="17318" r:id="rId80" name="RightSide">
              <controlPr defaultSize="0" autoFill="0" autoLine="0" autoPict="0" altText="Sides">
                <anchor moveWithCells="1" sizeWithCells="1">
                  <from>
                    <xdr:col>19</xdr:col>
                    <xdr:colOff>495300</xdr:colOff>
                    <xdr:row>14</xdr:row>
                    <xdr:rowOff>9525</xdr:rowOff>
                  </from>
                  <to>
                    <xdr:col>19</xdr:col>
                    <xdr:colOff>628650</xdr:colOff>
                    <xdr:row>14</xdr:row>
                    <xdr:rowOff>180975</xdr:rowOff>
                  </to>
                </anchor>
              </controlPr>
            </control>
          </mc:Choice>
        </mc:AlternateContent>
        <mc:AlternateContent xmlns:mc="http://schemas.openxmlformats.org/markup-compatibility/2006">
          <mc:Choice Requires="x14">
            <control shapeId="17319" r:id="rId81" name="TopSide">
              <controlPr defaultSize="0" autoFill="0" autoLine="0" autoPict="0" altText="Sides">
                <anchor moveWithCells="1" sizeWithCells="1">
                  <from>
                    <xdr:col>19</xdr:col>
                    <xdr:colOff>0</xdr:colOff>
                    <xdr:row>14</xdr:row>
                    <xdr:rowOff>9525</xdr:rowOff>
                  </from>
                  <to>
                    <xdr:col>19</xdr:col>
                    <xdr:colOff>133350</xdr:colOff>
                    <xdr:row>14</xdr:row>
                    <xdr:rowOff>180975</xdr:rowOff>
                  </to>
                </anchor>
              </controlPr>
            </control>
          </mc:Choice>
        </mc:AlternateContent>
        <mc:AlternateContent xmlns:mc="http://schemas.openxmlformats.org/markup-compatibility/2006">
          <mc:Choice Requires="x14">
            <control shapeId="17320" r:id="rId82" name="BottomSide">
              <controlPr defaultSize="0" autoFill="0" autoLine="0" autoPict="0" altText="Sides">
                <anchor moveWithCells="1" sizeWithCells="1">
                  <from>
                    <xdr:col>19</xdr:col>
                    <xdr:colOff>161925</xdr:colOff>
                    <xdr:row>14</xdr:row>
                    <xdr:rowOff>9525</xdr:rowOff>
                  </from>
                  <to>
                    <xdr:col>19</xdr:col>
                    <xdr:colOff>295275</xdr:colOff>
                    <xdr:row>14</xdr:row>
                    <xdr:rowOff>180975</xdr:rowOff>
                  </to>
                </anchor>
              </controlPr>
            </control>
          </mc:Choice>
        </mc:AlternateContent>
        <mc:AlternateContent xmlns:mc="http://schemas.openxmlformats.org/markup-compatibility/2006">
          <mc:Choice Requires="x14">
            <control shapeId="17321" r:id="rId83" name="LeftSide">
              <controlPr locked="0" defaultSize="0" autoFill="0" autoLine="0" autoPict="0" altText="Sides">
                <anchor moveWithCells="1" sizeWithCells="1">
                  <from>
                    <xdr:col>19</xdr:col>
                    <xdr:colOff>333375</xdr:colOff>
                    <xdr:row>15</xdr:row>
                    <xdr:rowOff>19050</xdr:rowOff>
                  </from>
                  <to>
                    <xdr:col>19</xdr:col>
                    <xdr:colOff>466725</xdr:colOff>
                    <xdr:row>15</xdr:row>
                    <xdr:rowOff>180975</xdr:rowOff>
                  </to>
                </anchor>
              </controlPr>
            </control>
          </mc:Choice>
        </mc:AlternateContent>
        <mc:AlternateContent xmlns:mc="http://schemas.openxmlformats.org/markup-compatibility/2006">
          <mc:Choice Requires="x14">
            <control shapeId="17322" r:id="rId84" name="RightSide">
              <controlPr defaultSize="0" autoFill="0" autoLine="0" autoPict="0" altText="Sides">
                <anchor moveWithCells="1" sizeWithCells="1">
                  <from>
                    <xdr:col>19</xdr:col>
                    <xdr:colOff>495300</xdr:colOff>
                    <xdr:row>15</xdr:row>
                    <xdr:rowOff>19050</xdr:rowOff>
                  </from>
                  <to>
                    <xdr:col>19</xdr:col>
                    <xdr:colOff>628650</xdr:colOff>
                    <xdr:row>15</xdr:row>
                    <xdr:rowOff>180975</xdr:rowOff>
                  </to>
                </anchor>
              </controlPr>
            </control>
          </mc:Choice>
        </mc:AlternateContent>
        <mc:AlternateContent xmlns:mc="http://schemas.openxmlformats.org/markup-compatibility/2006">
          <mc:Choice Requires="x14">
            <control shapeId="17323" r:id="rId85" name="TopSide">
              <controlPr defaultSize="0" autoFill="0" autoLine="0" autoPict="0" altText="Sides">
                <anchor moveWithCells="1" sizeWithCells="1">
                  <from>
                    <xdr:col>19</xdr:col>
                    <xdr:colOff>0</xdr:colOff>
                    <xdr:row>15</xdr:row>
                    <xdr:rowOff>19050</xdr:rowOff>
                  </from>
                  <to>
                    <xdr:col>19</xdr:col>
                    <xdr:colOff>133350</xdr:colOff>
                    <xdr:row>15</xdr:row>
                    <xdr:rowOff>180975</xdr:rowOff>
                  </to>
                </anchor>
              </controlPr>
            </control>
          </mc:Choice>
        </mc:AlternateContent>
        <mc:AlternateContent xmlns:mc="http://schemas.openxmlformats.org/markup-compatibility/2006">
          <mc:Choice Requires="x14">
            <control shapeId="17324" r:id="rId86" name="BottomSide">
              <controlPr defaultSize="0" autoFill="0" autoLine="0" autoPict="0" altText="Sides">
                <anchor moveWithCells="1" sizeWithCells="1">
                  <from>
                    <xdr:col>19</xdr:col>
                    <xdr:colOff>161925</xdr:colOff>
                    <xdr:row>15</xdr:row>
                    <xdr:rowOff>19050</xdr:rowOff>
                  </from>
                  <to>
                    <xdr:col>19</xdr:col>
                    <xdr:colOff>295275</xdr:colOff>
                    <xdr:row>15</xdr:row>
                    <xdr:rowOff>180975</xdr:rowOff>
                  </to>
                </anchor>
              </controlPr>
            </control>
          </mc:Choice>
        </mc:AlternateContent>
        <mc:AlternateContent xmlns:mc="http://schemas.openxmlformats.org/markup-compatibility/2006">
          <mc:Choice Requires="x14">
            <control shapeId="17325" r:id="rId87" name="LeftSide">
              <controlPr locked="0" defaultSize="0" autoFill="0" autoLine="0" autoPict="0" altText="Sides">
                <anchor moveWithCells="1" sizeWithCells="1">
                  <from>
                    <xdr:col>19</xdr:col>
                    <xdr:colOff>333375</xdr:colOff>
                    <xdr:row>16</xdr:row>
                    <xdr:rowOff>19050</xdr:rowOff>
                  </from>
                  <to>
                    <xdr:col>19</xdr:col>
                    <xdr:colOff>466725</xdr:colOff>
                    <xdr:row>16</xdr:row>
                    <xdr:rowOff>180975</xdr:rowOff>
                  </to>
                </anchor>
              </controlPr>
            </control>
          </mc:Choice>
        </mc:AlternateContent>
        <mc:AlternateContent xmlns:mc="http://schemas.openxmlformats.org/markup-compatibility/2006">
          <mc:Choice Requires="x14">
            <control shapeId="17326" r:id="rId88" name="RightSide">
              <controlPr defaultSize="0" autoFill="0" autoLine="0" autoPict="0" altText="Sides">
                <anchor moveWithCells="1" sizeWithCells="1">
                  <from>
                    <xdr:col>19</xdr:col>
                    <xdr:colOff>495300</xdr:colOff>
                    <xdr:row>16</xdr:row>
                    <xdr:rowOff>19050</xdr:rowOff>
                  </from>
                  <to>
                    <xdr:col>19</xdr:col>
                    <xdr:colOff>628650</xdr:colOff>
                    <xdr:row>16</xdr:row>
                    <xdr:rowOff>180975</xdr:rowOff>
                  </to>
                </anchor>
              </controlPr>
            </control>
          </mc:Choice>
        </mc:AlternateContent>
        <mc:AlternateContent xmlns:mc="http://schemas.openxmlformats.org/markup-compatibility/2006">
          <mc:Choice Requires="x14">
            <control shapeId="17327" r:id="rId89" name="TopSide">
              <controlPr defaultSize="0" autoFill="0" autoLine="0" autoPict="0" altText="Sides">
                <anchor moveWithCells="1" sizeWithCells="1">
                  <from>
                    <xdr:col>19</xdr:col>
                    <xdr:colOff>0</xdr:colOff>
                    <xdr:row>16</xdr:row>
                    <xdr:rowOff>19050</xdr:rowOff>
                  </from>
                  <to>
                    <xdr:col>19</xdr:col>
                    <xdr:colOff>133350</xdr:colOff>
                    <xdr:row>16</xdr:row>
                    <xdr:rowOff>180975</xdr:rowOff>
                  </to>
                </anchor>
              </controlPr>
            </control>
          </mc:Choice>
        </mc:AlternateContent>
        <mc:AlternateContent xmlns:mc="http://schemas.openxmlformats.org/markup-compatibility/2006">
          <mc:Choice Requires="x14">
            <control shapeId="17328" r:id="rId90" name="BottomSide">
              <controlPr defaultSize="0" autoFill="0" autoLine="0" autoPict="0" altText="Sides">
                <anchor moveWithCells="1" sizeWithCells="1">
                  <from>
                    <xdr:col>19</xdr:col>
                    <xdr:colOff>161925</xdr:colOff>
                    <xdr:row>16</xdr:row>
                    <xdr:rowOff>19050</xdr:rowOff>
                  </from>
                  <to>
                    <xdr:col>19</xdr:col>
                    <xdr:colOff>295275</xdr:colOff>
                    <xdr:row>16</xdr:row>
                    <xdr:rowOff>180975</xdr:rowOff>
                  </to>
                </anchor>
              </controlPr>
            </control>
          </mc:Choice>
        </mc:AlternateContent>
        <mc:AlternateContent xmlns:mc="http://schemas.openxmlformats.org/markup-compatibility/2006">
          <mc:Choice Requires="x14">
            <control shapeId="17329" r:id="rId91" name="LeftSide">
              <controlPr locked="0" defaultSize="0" autoFill="0" autoLine="0" autoPict="0" altText="Sides">
                <anchor moveWithCells="1" sizeWithCells="1">
                  <from>
                    <xdr:col>19</xdr:col>
                    <xdr:colOff>333375</xdr:colOff>
                    <xdr:row>17</xdr:row>
                    <xdr:rowOff>19050</xdr:rowOff>
                  </from>
                  <to>
                    <xdr:col>19</xdr:col>
                    <xdr:colOff>466725</xdr:colOff>
                    <xdr:row>17</xdr:row>
                    <xdr:rowOff>190500</xdr:rowOff>
                  </to>
                </anchor>
              </controlPr>
            </control>
          </mc:Choice>
        </mc:AlternateContent>
        <mc:AlternateContent xmlns:mc="http://schemas.openxmlformats.org/markup-compatibility/2006">
          <mc:Choice Requires="x14">
            <control shapeId="17330" r:id="rId92" name="RightSide">
              <controlPr defaultSize="0" autoFill="0" autoLine="0" autoPict="0" altText="Sides">
                <anchor moveWithCells="1" sizeWithCells="1">
                  <from>
                    <xdr:col>19</xdr:col>
                    <xdr:colOff>495300</xdr:colOff>
                    <xdr:row>17</xdr:row>
                    <xdr:rowOff>19050</xdr:rowOff>
                  </from>
                  <to>
                    <xdr:col>19</xdr:col>
                    <xdr:colOff>628650</xdr:colOff>
                    <xdr:row>17</xdr:row>
                    <xdr:rowOff>190500</xdr:rowOff>
                  </to>
                </anchor>
              </controlPr>
            </control>
          </mc:Choice>
        </mc:AlternateContent>
        <mc:AlternateContent xmlns:mc="http://schemas.openxmlformats.org/markup-compatibility/2006">
          <mc:Choice Requires="x14">
            <control shapeId="17331" r:id="rId93" name="TopSide">
              <controlPr defaultSize="0" autoFill="0" autoLine="0" autoPict="0" altText="Sides">
                <anchor moveWithCells="1" sizeWithCells="1">
                  <from>
                    <xdr:col>19</xdr:col>
                    <xdr:colOff>0</xdr:colOff>
                    <xdr:row>17</xdr:row>
                    <xdr:rowOff>19050</xdr:rowOff>
                  </from>
                  <to>
                    <xdr:col>19</xdr:col>
                    <xdr:colOff>133350</xdr:colOff>
                    <xdr:row>17</xdr:row>
                    <xdr:rowOff>190500</xdr:rowOff>
                  </to>
                </anchor>
              </controlPr>
            </control>
          </mc:Choice>
        </mc:AlternateContent>
        <mc:AlternateContent xmlns:mc="http://schemas.openxmlformats.org/markup-compatibility/2006">
          <mc:Choice Requires="x14">
            <control shapeId="17332" r:id="rId94" name="BottomSide">
              <controlPr defaultSize="0" autoFill="0" autoLine="0" autoPict="0" altText="Sides">
                <anchor moveWithCells="1" sizeWithCells="1">
                  <from>
                    <xdr:col>19</xdr:col>
                    <xdr:colOff>161925</xdr:colOff>
                    <xdr:row>17</xdr:row>
                    <xdr:rowOff>19050</xdr:rowOff>
                  </from>
                  <to>
                    <xdr:col>19</xdr:col>
                    <xdr:colOff>295275</xdr:colOff>
                    <xdr:row>17</xdr:row>
                    <xdr:rowOff>190500</xdr:rowOff>
                  </to>
                </anchor>
              </controlPr>
            </control>
          </mc:Choice>
        </mc:AlternateContent>
        <mc:AlternateContent xmlns:mc="http://schemas.openxmlformats.org/markup-compatibility/2006">
          <mc:Choice Requires="x14">
            <control shapeId="17333" r:id="rId95" name="LeftSide">
              <controlPr locked="0" defaultSize="0" autoFill="0" autoLine="0" autoPict="0" altText="Sides">
                <anchor moveWithCells="1" sizeWithCells="1">
                  <from>
                    <xdr:col>19</xdr:col>
                    <xdr:colOff>333375</xdr:colOff>
                    <xdr:row>18</xdr:row>
                    <xdr:rowOff>19050</xdr:rowOff>
                  </from>
                  <to>
                    <xdr:col>19</xdr:col>
                    <xdr:colOff>466725</xdr:colOff>
                    <xdr:row>18</xdr:row>
                    <xdr:rowOff>190500</xdr:rowOff>
                  </to>
                </anchor>
              </controlPr>
            </control>
          </mc:Choice>
        </mc:AlternateContent>
        <mc:AlternateContent xmlns:mc="http://schemas.openxmlformats.org/markup-compatibility/2006">
          <mc:Choice Requires="x14">
            <control shapeId="17334" r:id="rId96" name="RightSide">
              <controlPr defaultSize="0" autoFill="0" autoLine="0" autoPict="0" altText="Sides">
                <anchor moveWithCells="1" sizeWithCells="1">
                  <from>
                    <xdr:col>19</xdr:col>
                    <xdr:colOff>495300</xdr:colOff>
                    <xdr:row>18</xdr:row>
                    <xdr:rowOff>19050</xdr:rowOff>
                  </from>
                  <to>
                    <xdr:col>19</xdr:col>
                    <xdr:colOff>628650</xdr:colOff>
                    <xdr:row>18</xdr:row>
                    <xdr:rowOff>190500</xdr:rowOff>
                  </to>
                </anchor>
              </controlPr>
            </control>
          </mc:Choice>
        </mc:AlternateContent>
        <mc:AlternateContent xmlns:mc="http://schemas.openxmlformats.org/markup-compatibility/2006">
          <mc:Choice Requires="x14">
            <control shapeId="17335" r:id="rId97" name="TopSide">
              <controlPr defaultSize="0" autoFill="0" autoLine="0" autoPict="0" altText="Sides">
                <anchor moveWithCells="1" sizeWithCells="1">
                  <from>
                    <xdr:col>19</xdr:col>
                    <xdr:colOff>0</xdr:colOff>
                    <xdr:row>18</xdr:row>
                    <xdr:rowOff>19050</xdr:rowOff>
                  </from>
                  <to>
                    <xdr:col>19</xdr:col>
                    <xdr:colOff>133350</xdr:colOff>
                    <xdr:row>18</xdr:row>
                    <xdr:rowOff>190500</xdr:rowOff>
                  </to>
                </anchor>
              </controlPr>
            </control>
          </mc:Choice>
        </mc:AlternateContent>
        <mc:AlternateContent xmlns:mc="http://schemas.openxmlformats.org/markup-compatibility/2006">
          <mc:Choice Requires="x14">
            <control shapeId="17336" r:id="rId98" name="BottomSide">
              <controlPr defaultSize="0" autoFill="0" autoLine="0" autoPict="0" altText="Sides">
                <anchor moveWithCells="1" sizeWithCells="1">
                  <from>
                    <xdr:col>19</xdr:col>
                    <xdr:colOff>161925</xdr:colOff>
                    <xdr:row>18</xdr:row>
                    <xdr:rowOff>19050</xdr:rowOff>
                  </from>
                  <to>
                    <xdr:col>19</xdr:col>
                    <xdr:colOff>295275</xdr:colOff>
                    <xdr:row>18</xdr:row>
                    <xdr:rowOff>190500</xdr:rowOff>
                  </to>
                </anchor>
              </controlPr>
            </control>
          </mc:Choice>
        </mc:AlternateContent>
        <mc:AlternateContent xmlns:mc="http://schemas.openxmlformats.org/markup-compatibility/2006">
          <mc:Choice Requires="x14">
            <control shapeId="17337" r:id="rId99" name="LeftSide">
              <controlPr locked="0" defaultSize="0" autoFill="0" autoLine="0" autoPict="0" altText="Sides">
                <anchor moveWithCells="1" sizeWithCells="1">
                  <from>
                    <xdr:col>19</xdr:col>
                    <xdr:colOff>333375</xdr:colOff>
                    <xdr:row>19</xdr:row>
                    <xdr:rowOff>19050</xdr:rowOff>
                  </from>
                  <to>
                    <xdr:col>19</xdr:col>
                    <xdr:colOff>466725</xdr:colOff>
                    <xdr:row>19</xdr:row>
                    <xdr:rowOff>190500</xdr:rowOff>
                  </to>
                </anchor>
              </controlPr>
            </control>
          </mc:Choice>
        </mc:AlternateContent>
        <mc:AlternateContent xmlns:mc="http://schemas.openxmlformats.org/markup-compatibility/2006">
          <mc:Choice Requires="x14">
            <control shapeId="17338" r:id="rId100" name="RightSide">
              <controlPr defaultSize="0" autoFill="0" autoLine="0" autoPict="0" altText="Sides">
                <anchor moveWithCells="1" sizeWithCells="1">
                  <from>
                    <xdr:col>19</xdr:col>
                    <xdr:colOff>495300</xdr:colOff>
                    <xdr:row>19</xdr:row>
                    <xdr:rowOff>19050</xdr:rowOff>
                  </from>
                  <to>
                    <xdr:col>19</xdr:col>
                    <xdr:colOff>628650</xdr:colOff>
                    <xdr:row>19</xdr:row>
                    <xdr:rowOff>190500</xdr:rowOff>
                  </to>
                </anchor>
              </controlPr>
            </control>
          </mc:Choice>
        </mc:AlternateContent>
        <mc:AlternateContent xmlns:mc="http://schemas.openxmlformats.org/markup-compatibility/2006">
          <mc:Choice Requires="x14">
            <control shapeId="17339" r:id="rId101" name="TopSide">
              <controlPr defaultSize="0" autoFill="0" autoLine="0" autoPict="0" altText="Sides">
                <anchor moveWithCells="1" sizeWithCells="1">
                  <from>
                    <xdr:col>19</xdr:col>
                    <xdr:colOff>0</xdr:colOff>
                    <xdr:row>19</xdr:row>
                    <xdr:rowOff>19050</xdr:rowOff>
                  </from>
                  <to>
                    <xdr:col>19</xdr:col>
                    <xdr:colOff>133350</xdr:colOff>
                    <xdr:row>19</xdr:row>
                    <xdr:rowOff>190500</xdr:rowOff>
                  </to>
                </anchor>
              </controlPr>
            </control>
          </mc:Choice>
        </mc:AlternateContent>
        <mc:AlternateContent xmlns:mc="http://schemas.openxmlformats.org/markup-compatibility/2006">
          <mc:Choice Requires="x14">
            <control shapeId="17340" r:id="rId102" name="BottomSide">
              <controlPr defaultSize="0" autoFill="0" autoLine="0" autoPict="0" altText="Sides">
                <anchor moveWithCells="1" sizeWithCells="1">
                  <from>
                    <xdr:col>19</xdr:col>
                    <xdr:colOff>161925</xdr:colOff>
                    <xdr:row>19</xdr:row>
                    <xdr:rowOff>19050</xdr:rowOff>
                  </from>
                  <to>
                    <xdr:col>19</xdr:col>
                    <xdr:colOff>295275</xdr:colOff>
                    <xdr:row>19</xdr:row>
                    <xdr:rowOff>190500</xdr:rowOff>
                  </to>
                </anchor>
              </controlPr>
            </control>
          </mc:Choice>
        </mc:AlternateContent>
        <mc:AlternateContent xmlns:mc="http://schemas.openxmlformats.org/markup-compatibility/2006">
          <mc:Choice Requires="x14">
            <control shapeId="17341" r:id="rId103" name="LeftSide">
              <controlPr locked="0" defaultSize="0" autoFill="0" autoLine="0" autoPict="0" altText="Sides">
                <anchor moveWithCells="1" sizeWithCells="1">
                  <from>
                    <xdr:col>19</xdr:col>
                    <xdr:colOff>333375</xdr:colOff>
                    <xdr:row>20</xdr:row>
                    <xdr:rowOff>19050</xdr:rowOff>
                  </from>
                  <to>
                    <xdr:col>19</xdr:col>
                    <xdr:colOff>466725</xdr:colOff>
                    <xdr:row>20</xdr:row>
                    <xdr:rowOff>190500</xdr:rowOff>
                  </to>
                </anchor>
              </controlPr>
            </control>
          </mc:Choice>
        </mc:AlternateContent>
        <mc:AlternateContent xmlns:mc="http://schemas.openxmlformats.org/markup-compatibility/2006">
          <mc:Choice Requires="x14">
            <control shapeId="17342" r:id="rId104" name="RightSide">
              <controlPr defaultSize="0" autoFill="0" autoLine="0" autoPict="0" altText="Sides">
                <anchor moveWithCells="1" sizeWithCells="1">
                  <from>
                    <xdr:col>19</xdr:col>
                    <xdr:colOff>495300</xdr:colOff>
                    <xdr:row>20</xdr:row>
                    <xdr:rowOff>19050</xdr:rowOff>
                  </from>
                  <to>
                    <xdr:col>19</xdr:col>
                    <xdr:colOff>628650</xdr:colOff>
                    <xdr:row>20</xdr:row>
                    <xdr:rowOff>190500</xdr:rowOff>
                  </to>
                </anchor>
              </controlPr>
            </control>
          </mc:Choice>
        </mc:AlternateContent>
        <mc:AlternateContent xmlns:mc="http://schemas.openxmlformats.org/markup-compatibility/2006">
          <mc:Choice Requires="x14">
            <control shapeId="17343" r:id="rId105" name="TopSide">
              <controlPr defaultSize="0" autoFill="0" autoLine="0" autoPict="0" altText="Sides">
                <anchor moveWithCells="1" sizeWithCells="1">
                  <from>
                    <xdr:col>19</xdr:col>
                    <xdr:colOff>0</xdr:colOff>
                    <xdr:row>20</xdr:row>
                    <xdr:rowOff>19050</xdr:rowOff>
                  </from>
                  <to>
                    <xdr:col>19</xdr:col>
                    <xdr:colOff>133350</xdr:colOff>
                    <xdr:row>20</xdr:row>
                    <xdr:rowOff>190500</xdr:rowOff>
                  </to>
                </anchor>
              </controlPr>
            </control>
          </mc:Choice>
        </mc:AlternateContent>
        <mc:AlternateContent xmlns:mc="http://schemas.openxmlformats.org/markup-compatibility/2006">
          <mc:Choice Requires="x14">
            <control shapeId="17344" r:id="rId106" name="BottomSide">
              <controlPr defaultSize="0" autoFill="0" autoLine="0" autoPict="0" altText="Sides">
                <anchor moveWithCells="1" sizeWithCells="1">
                  <from>
                    <xdr:col>19</xdr:col>
                    <xdr:colOff>161925</xdr:colOff>
                    <xdr:row>20</xdr:row>
                    <xdr:rowOff>19050</xdr:rowOff>
                  </from>
                  <to>
                    <xdr:col>19</xdr:col>
                    <xdr:colOff>295275</xdr:colOff>
                    <xdr:row>20</xdr:row>
                    <xdr:rowOff>190500</xdr:rowOff>
                  </to>
                </anchor>
              </controlPr>
            </control>
          </mc:Choice>
        </mc:AlternateContent>
        <mc:AlternateContent xmlns:mc="http://schemas.openxmlformats.org/markup-compatibility/2006">
          <mc:Choice Requires="x14">
            <control shapeId="17345" r:id="rId107" name="LeftSide">
              <controlPr locked="0" defaultSize="0" autoFill="0" autoLine="0" autoPict="0" altText="Sides">
                <anchor moveWithCells="1" sizeWithCells="1">
                  <from>
                    <xdr:col>19</xdr:col>
                    <xdr:colOff>333375</xdr:colOff>
                    <xdr:row>21</xdr:row>
                    <xdr:rowOff>19050</xdr:rowOff>
                  </from>
                  <to>
                    <xdr:col>19</xdr:col>
                    <xdr:colOff>466725</xdr:colOff>
                    <xdr:row>21</xdr:row>
                    <xdr:rowOff>190500</xdr:rowOff>
                  </to>
                </anchor>
              </controlPr>
            </control>
          </mc:Choice>
        </mc:AlternateContent>
        <mc:AlternateContent xmlns:mc="http://schemas.openxmlformats.org/markup-compatibility/2006">
          <mc:Choice Requires="x14">
            <control shapeId="17346" r:id="rId108" name="RightSide">
              <controlPr defaultSize="0" autoFill="0" autoLine="0" autoPict="0" altText="Sides">
                <anchor moveWithCells="1" sizeWithCells="1">
                  <from>
                    <xdr:col>19</xdr:col>
                    <xdr:colOff>495300</xdr:colOff>
                    <xdr:row>21</xdr:row>
                    <xdr:rowOff>19050</xdr:rowOff>
                  </from>
                  <to>
                    <xdr:col>19</xdr:col>
                    <xdr:colOff>628650</xdr:colOff>
                    <xdr:row>21</xdr:row>
                    <xdr:rowOff>190500</xdr:rowOff>
                  </to>
                </anchor>
              </controlPr>
            </control>
          </mc:Choice>
        </mc:AlternateContent>
        <mc:AlternateContent xmlns:mc="http://schemas.openxmlformats.org/markup-compatibility/2006">
          <mc:Choice Requires="x14">
            <control shapeId="17347" r:id="rId109" name="TopSide">
              <controlPr defaultSize="0" autoFill="0" autoLine="0" autoPict="0" altText="Sides">
                <anchor moveWithCells="1" sizeWithCells="1">
                  <from>
                    <xdr:col>19</xdr:col>
                    <xdr:colOff>0</xdr:colOff>
                    <xdr:row>21</xdr:row>
                    <xdr:rowOff>19050</xdr:rowOff>
                  </from>
                  <to>
                    <xdr:col>19</xdr:col>
                    <xdr:colOff>133350</xdr:colOff>
                    <xdr:row>21</xdr:row>
                    <xdr:rowOff>190500</xdr:rowOff>
                  </to>
                </anchor>
              </controlPr>
            </control>
          </mc:Choice>
        </mc:AlternateContent>
        <mc:AlternateContent xmlns:mc="http://schemas.openxmlformats.org/markup-compatibility/2006">
          <mc:Choice Requires="x14">
            <control shapeId="17348" r:id="rId110" name="BottomSide">
              <controlPr defaultSize="0" autoFill="0" autoLine="0" autoPict="0" altText="Sides">
                <anchor moveWithCells="1" sizeWithCells="1">
                  <from>
                    <xdr:col>19</xdr:col>
                    <xdr:colOff>161925</xdr:colOff>
                    <xdr:row>21</xdr:row>
                    <xdr:rowOff>19050</xdr:rowOff>
                  </from>
                  <to>
                    <xdr:col>19</xdr:col>
                    <xdr:colOff>295275</xdr:colOff>
                    <xdr:row>21</xdr:row>
                    <xdr:rowOff>190500</xdr:rowOff>
                  </to>
                </anchor>
              </controlPr>
            </control>
          </mc:Choice>
        </mc:AlternateContent>
        <mc:AlternateContent xmlns:mc="http://schemas.openxmlformats.org/markup-compatibility/2006">
          <mc:Choice Requires="x14">
            <control shapeId="17349" r:id="rId111" name="LeftSide">
              <controlPr locked="0" defaultSize="0" autoFill="0" autoLine="0" autoPict="0" altText="Sides">
                <anchor moveWithCells="1" sizeWithCells="1">
                  <from>
                    <xdr:col>19</xdr:col>
                    <xdr:colOff>333375</xdr:colOff>
                    <xdr:row>22</xdr:row>
                    <xdr:rowOff>28575</xdr:rowOff>
                  </from>
                  <to>
                    <xdr:col>19</xdr:col>
                    <xdr:colOff>466725</xdr:colOff>
                    <xdr:row>22</xdr:row>
                    <xdr:rowOff>190500</xdr:rowOff>
                  </to>
                </anchor>
              </controlPr>
            </control>
          </mc:Choice>
        </mc:AlternateContent>
        <mc:AlternateContent xmlns:mc="http://schemas.openxmlformats.org/markup-compatibility/2006">
          <mc:Choice Requires="x14">
            <control shapeId="17350" r:id="rId112" name="RightSide">
              <controlPr defaultSize="0" autoFill="0" autoLine="0" autoPict="0" altText="Sides">
                <anchor moveWithCells="1" sizeWithCells="1">
                  <from>
                    <xdr:col>19</xdr:col>
                    <xdr:colOff>495300</xdr:colOff>
                    <xdr:row>22</xdr:row>
                    <xdr:rowOff>28575</xdr:rowOff>
                  </from>
                  <to>
                    <xdr:col>19</xdr:col>
                    <xdr:colOff>628650</xdr:colOff>
                    <xdr:row>22</xdr:row>
                    <xdr:rowOff>190500</xdr:rowOff>
                  </to>
                </anchor>
              </controlPr>
            </control>
          </mc:Choice>
        </mc:AlternateContent>
        <mc:AlternateContent xmlns:mc="http://schemas.openxmlformats.org/markup-compatibility/2006">
          <mc:Choice Requires="x14">
            <control shapeId="17351" r:id="rId113" name="TopSide">
              <controlPr defaultSize="0" autoFill="0" autoLine="0" autoPict="0" altText="Sides">
                <anchor moveWithCells="1" sizeWithCells="1">
                  <from>
                    <xdr:col>19</xdr:col>
                    <xdr:colOff>0</xdr:colOff>
                    <xdr:row>22</xdr:row>
                    <xdr:rowOff>28575</xdr:rowOff>
                  </from>
                  <to>
                    <xdr:col>19</xdr:col>
                    <xdr:colOff>133350</xdr:colOff>
                    <xdr:row>22</xdr:row>
                    <xdr:rowOff>190500</xdr:rowOff>
                  </to>
                </anchor>
              </controlPr>
            </control>
          </mc:Choice>
        </mc:AlternateContent>
        <mc:AlternateContent xmlns:mc="http://schemas.openxmlformats.org/markup-compatibility/2006">
          <mc:Choice Requires="x14">
            <control shapeId="17352" r:id="rId114" name="BottomSide">
              <controlPr defaultSize="0" autoFill="0" autoLine="0" autoPict="0" altText="Sides">
                <anchor moveWithCells="1" sizeWithCells="1">
                  <from>
                    <xdr:col>19</xdr:col>
                    <xdr:colOff>161925</xdr:colOff>
                    <xdr:row>22</xdr:row>
                    <xdr:rowOff>28575</xdr:rowOff>
                  </from>
                  <to>
                    <xdr:col>19</xdr:col>
                    <xdr:colOff>295275</xdr:colOff>
                    <xdr:row>22</xdr:row>
                    <xdr:rowOff>190500</xdr:rowOff>
                  </to>
                </anchor>
              </controlPr>
            </control>
          </mc:Choice>
        </mc:AlternateContent>
        <mc:AlternateContent xmlns:mc="http://schemas.openxmlformats.org/markup-compatibility/2006">
          <mc:Choice Requires="x14">
            <control shapeId="17353" r:id="rId115" name="LeftSide">
              <controlPr locked="0" defaultSize="0" autoFill="0" autoLine="0" autoPict="0" altText="Sides">
                <anchor moveWithCells="1" sizeWithCells="1">
                  <from>
                    <xdr:col>19</xdr:col>
                    <xdr:colOff>333375</xdr:colOff>
                    <xdr:row>23</xdr:row>
                    <xdr:rowOff>28575</xdr:rowOff>
                  </from>
                  <to>
                    <xdr:col>19</xdr:col>
                    <xdr:colOff>466725</xdr:colOff>
                    <xdr:row>23</xdr:row>
                    <xdr:rowOff>190500</xdr:rowOff>
                  </to>
                </anchor>
              </controlPr>
            </control>
          </mc:Choice>
        </mc:AlternateContent>
        <mc:AlternateContent xmlns:mc="http://schemas.openxmlformats.org/markup-compatibility/2006">
          <mc:Choice Requires="x14">
            <control shapeId="17354" r:id="rId116" name="RightSide">
              <controlPr defaultSize="0" autoFill="0" autoLine="0" autoPict="0" altText="Sides">
                <anchor moveWithCells="1" sizeWithCells="1">
                  <from>
                    <xdr:col>19</xdr:col>
                    <xdr:colOff>495300</xdr:colOff>
                    <xdr:row>23</xdr:row>
                    <xdr:rowOff>28575</xdr:rowOff>
                  </from>
                  <to>
                    <xdr:col>19</xdr:col>
                    <xdr:colOff>628650</xdr:colOff>
                    <xdr:row>23</xdr:row>
                    <xdr:rowOff>190500</xdr:rowOff>
                  </to>
                </anchor>
              </controlPr>
            </control>
          </mc:Choice>
        </mc:AlternateContent>
        <mc:AlternateContent xmlns:mc="http://schemas.openxmlformats.org/markup-compatibility/2006">
          <mc:Choice Requires="x14">
            <control shapeId="17355" r:id="rId117" name="TopSide">
              <controlPr defaultSize="0" autoFill="0" autoLine="0" autoPict="0" altText="Sides">
                <anchor moveWithCells="1" sizeWithCells="1">
                  <from>
                    <xdr:col>19</xdr:col>
                    <xdr:colOff>0</xdr:colOff>
                    <xdr:row>23</xdr:row>
                    <xdr:rowOff>28575</xdr:rowOff>
                  </from>
                  <to>
                    <xdr:col>19</xdr:col>
                    <xdr:colOff>133350</xdr:colOff>
                    <xdr:row>23</xdr:row>
                    <xdr:rowOff>190500</xdr:rowOff>
                  </to>
                </anchor>
              </controlPr>
            </control>
          </mc:Choice>
        </mc:AlternateContent>
        <mc:AlternateContent xmlns:mc="http://schemas.openxmlformats.org/markup-compatibility/2006">
          <mc:Choice Requires="x14">
            <control shapeId="17356" r:id="rId118" name="BottomSide">
              <controlPr defaultSize="0" autoFill="0" autoLine="0" autoPict="0" altText="Sides">
                <anchor moveWithCells="1" sizeWithCells="1">
                  <from>
                    <xdr:col>19</xdr:col>
                    <xdr:colOff>161925</xdr:colOff>
                    <xdr:row>23</xdr:row>
                    <xdr:rowOff>28575</xdr:rowOff>
                  </from>
                  <to>
                    <xdr:col>19</xdr:col>
                    <xdr:colOff>295275</xdr:colOff>
                    <xdr:row>23</xdr:row>
                    <xdr:rowOff>190500</xdr:rowOff>
                  </to>
                </anchor>
              </controlPr>
            </control>
          </mc:Choice>
        </mc:AlternateContent>
        <mc:AlternateContent xmlns:mc="http://schemas.openxmlformats.org/markup-compatibility/2006">
          <mc:Choice Requires="x14">
            <control shapeId="17357" r:id="rId119" name="LeftSide">
              <controlPr locked="0" defaultSize="0" autoFill="0" autoLine="0" autoPict="0" altText="Sides">
                <anchor moveWithCells="1" sizeWithCells="1">
                  <from>
                    <xdr:col>19</xdr:col>
                    <xdr:colOff>333375</xdr:colOff>
                    <xdr:row>24</xdr:row>
                    <xdr:rowOff>28575</xdr:rowOff>
                  </from>
                  <to>
                    <xdr:col>19</xdr:col>
                    <xdr:colOff>466725</xdr:colOff>
                    <xdr:row>24</xdr:row>
                    <xdr:rowOff>200025</xdr:rowOff>
                  </to>
                </anchor>
              </controlPr>
            </control>
          </mc:Choice>
        </mc:AlternateContent>
        <mc:AlternateContent xmlns:mc="http://schemas.openxmlformats.org/markup-compatibility/2006">
          <mc:Choice Requires="x14">
            <control shapeId="17358" r:id="rId120" name="RightSide">
              <controlPr defaultSize="0" autoFill="0" autoLine="0" autoPict="0" altText="Sides">
                <anchor moveWithCells="1" sizeWithCells="1">
                  <from>
                    <xdr:col>19</xdr:col>
                    <xdr:colOff>495300</xdr:colOff>
                    <xdr:row>24</xdr:row>
                    <xdr:rowOff>28575</xdr:rowOff>
                  </from>
                  <to>
                    <xdr:col>19</xdr:col>
                    <xdr:colOff>628650</xdr:colOff>
                    <xdr:row>25</xdr:row>
                    <xdr:rowOff>0</xdr:rowOff>
                  </to>
                </anchor>
              </controlPr>
            </control>
          </mc:Choice>
        </mc:AlternateContent>
        <mc:AlternateContent xmlns:mc="http://schemas.openxmlformats.org/markup-compatibility/2006">
          <mc:Choice Requires="x14">
            <control shapeId="17359" r:id="rId121" name="TopSide">
              <controlPr defaultSize="0" autoFill="0" autoLine="0" autoPict="0" altText="Sides">
                <anchor moveWithCells="1" sizeWithCells="1">
                  <from>
                    <xdr:col>19</xdr:col>
                    <xdr:colOff>0</xdr:colOff>
                    <xdr:row>24</xdr:row>
                    <xdr:rowOff>28575</xdr:rowOff>
                  </from>
                  <to>
                    <xdr:col>19</xdr:col>
                    <xdr:colOff>133350</xdr:colOff>
                    <xdr:row>25</xdr:row>
                    <xdr:rowOff>0</xdr:rowOff>
                  </to>
                </anchor>
              </controlPr>
            </control>
          </mc:Choice>
        </mc:AlternateContent>
        <mc:AlternateContent xmlns:mc="http://schemas.openxmlformats.org/markup-compatibility/2006">
          <mc:Choice Requires="x14">
            <control shapeId="17360" r:id="rId122" name="BottomSide">
              <controlPr defaultSize="0" autoFill="0" autoLine="0" autoPict="0" altText="Sides">
                <anchor moveWithCells="1" sizeWithCells="1">
                  <from>
                    <xdr:col>19</xdr:col>
                    <xdr:colOff>161925</xdr:colOff>
                    <xdr:row>24</xdr:row>
                    <xdr:rowOff>28575</xdr:rowOff>
                  </from>
                  <to>
                    <xdr:col>19</xdr:col>
                    <xdr:colOff>295275</xdr:colOff>
                    <xdr:row>25</xdr:row>
                    <xdr:rowOff>0</xdr:rowOff>
                  </to>
                </anchor>
              </controlPr>
            </control>
          </mc:Choice>
        </mc:AlternateContent>
        <mc:AlternateContent xmlns:mc="http://schemas.openxmlformats.org/markup-compatibility/2006">
          <mc:Choice Requires="x14">
            <control shapeId="17361" r:id="rId123" name="LeftSide">
              <controlPr locked="0" defaultSize="0" autoFill="0" autoLine="0" autoPict="0" altText="Sides">
                <anchor moveWithCells="1" sizeWithCells="1">
                  <from>
                    <xdr:col>19</xdr:col>
                    <xdr:colOff>333375</xdr:colOff>
                    <xdr:row>25</xdr:row>
                    <xdr:rowOff>28575</xdr:rowOff>
                  </from>
                  <to>
                    <xdr:col>19</xdr:col>
                    <xdr:colOff>466725</xdr:colOff>
                    <xdr:row>25</xdr:row>
                    <xdr:rowOff>200025</xdr:rowOff>
                  </to>
                </anchor>
              </controlPr>
            </control>
          </mc:Choice>
        </mc:AlternateContent>
        <mc:AlternateContent xmlns:mc="http://schemas.openxmlformats.org/markup-compatibility/2006">
          <mc:Choice Requires="x14">
            <control shapeId="17362" r:id="rId124" name="RightSide">
              <controlPr defaultSize="0" autoFill="0" autoLine="0" autoPict="0" altText="Sides">
                <anchor moveWithCells="1" sizeWithCells="1">
                  <from>
                    <xdr:col>19</xdr:col>
                    <xdr:colOff>495300</xdr:colOff>
                    <xdr:row>25</xdr:row>
                    <xdr:rowOff>28575</xdr:rowOff>
                  </from>
                  <to>
                    <xdr:col>19</xdr:col>
                    <xdr:colOff>628650</xdr:colOff>
                    <xdr:row>26</xdr:row>
                    <xdr:rowOff>0</xdr:rowOff>
                  </to>
                </anchor>
              </controlPr>
            </control>
          </mc:Choice>
        </mc:AlternateContent>
        <mc:AlternateContent xmlns:mc="http://schemas.openxmlformats.org/markup-compatibility/2006">
          <mc:Choice Requires="x14">
            <control shapeId="17363" r:id="rId125" name="TopSide">
              <controlPr defaultSize="0" autoFill="0" autoLine="0" autoPict="0" altText="Sides">
                <anchor moveWithCells="1" sizeWithCells="1">
                  <from>
                    <xdr:col>19</xdr:col>
                    <xdr:colOff>0</xdr:colOff>
                    <xdr:row>25</xdr:row>
                    <xdr:rowOff>28575</xdr:rowOff>
                  </from>
                  <to>
                    <xdr:col>19</xdr:col>
                    <xdr:colOff>133350</xdr:colOff>
                    <xdr:row>26</xdr:row>
                    <xdr:rowOff>0</xdr:rowOff>
                  </to>
                </anchor>
              </controlPr>
            </control>
          </mc:Choice>
        </mc:AlternateContent>
        <mc:AlternateContent xmlns:mc="http://schemas.openxmlformats.org/markup-compatibility/2006">
          <mc:Choice Requires="x14">
            <control shapeId="17364" r:id="rId126" name="BottomSide">
              <controlPr defaultSize="0" autoFill="0" autoLine="0" autoPict="0" altText="Sides">
                <anchor moveWithCells="1" sizeWithCells="1">
                  <from>
                    <xdr:col>19</xdr:col>
                    <xdr:colOff>161925</xdr:colOff>
                    <xdr:row>25</xdr:row>
                    <xdr:rowOff>28575</xdr:rowOff>
                  </from>
                  <to>
                    <xdr:col>19</xdr:col>
                    <xdr:colOff>295275</xdr:colOff>
                    <xdr:row>26</xdr:row>
                    <xdr:rowOff>0</xdr:rowOff>
                  </to>
                </anchor>
              </controlPr>
            </control>
          </mc:Choice>
        </mc:AlternateContent>
        <mc:AlternateContent xmlns:mc="http://schemas.openxmlformats.org/markup-compatibility/2006">
          <mc:Choice Requires="x14">
            <control shapeId="45750" r:id="rId127" name="LeftSide">
              <controlPr locked="0" defaultSize="0" autoFill="0" autoLine="0" autoPict="0" altText="Sides">
                <anchor moveWithCells="1" sizeWithCells="1">
                  <from>
                    <xdr:col>20</xdr:col>
                    <xdr:colOff>333375</xdr:colOff>
                    <xdr:row>6</xdr:row>
                    <xdr:rowOff>0</xdr:rowOff>
                  </from>
                  <to>
                    <xdr:col>20</xdr:col>
                    <xdr:colOff>466725</xdr:colOff>
                    <xdr:row>6</xdr:row>
                    <xdr:rowOff>171450</xdr:rowOff>
                  </to>
                </anchor>
              </controlPr>
            </control>
          </mc:Choice>
        </mc:AlternateContent>
        <mc:AlternateContent xmlns:mc="http://schemas.openxmlformats.org/markup-compatibility/2006">
          <mc:Choice Requires="x14">
            <control shapeId="45751" r:id="rId128" name="RightSide">
              <controlPr defaultSize="0" autoFill="0" autoLine="0" autoPict="0" altText="Sides">
                <anchor moveWithCells="1" sizeWithCells="1">
                  <from>
                    <xdr:col>20</xdr:col>
                    <xdr:colOff>495300</xdr:colOff>
                    <xdr:row>6</xdr:row>
                    <xdr:rowOff>0</xdr:rowOff>
                  </from>
                  <to>
                    <xdr:col>20</xdr:col>
                    <xdr:colOff>628650</xdr:colOff>
                    <xdr:row>6</xdr:row>
                    <xdr:rowOff>171450</xdr:rowOff>
                  </to>
                </anchor>
              </controlPr>
            </control>
          </mc:Choice>
        </mc:AlternateContent>
        <mc:AlternateContent xmlns:mc="http://schemas.openxmlformats.org/markup-compatibility/2006">
          <mc:Choice Requires="x14">
            <control shapeId="45752" r:id="rId129" name="TopSide">
              <controlPr defaultSize="0" autoFill="0" autoLine="0" autoPict="0" altText="Sides">
                <anchor moveWithCells="1" sizeWithCells="1">
                  <from>
                    <xdr:col>20</xdr:col>
                    <xdr:colOff>0</xdr:colOff>
                    <xdr:row>6</xdr:row>
                    <xdr:rowOff>0</xdr:rowOff>
                  </from>
                  <to>
                    <xdr:col>20</xdr:col>
                    <xdr:colOff>133350</xdr:colOff>
                    <xdr:row>6</xdr:row>
                    <xdr:rowOff>171450</xdr:rowOff>
                  </to>
                </anchor>
              </controlPr>
            </control>
          </mc:Choice>
        </mc:AlternateContent>
        <mc:AlternateContent xmlns:mc="http://schemas.openxmlformats.org/markup-compatibility/2006">
          <mc:Choice Requires="x14">
            <control shapeId="45753" r:id="rId130" name="BottomSide">
              <controlPr defaultSize="0" autoFill="0" autoLine="0" autoPict="0" altText="Sides">
                <anchor moveWithCells="1" sizeWithCells="1">
                  <from>
                    <xdr:col>20</xdr:col>
                    <xdr:colOff>161925</xdr:colOff>
                    <xdr:row>6</xdr:row>
                    <xdr:rowOff>0</xdr:rowOff>
                  </from>
                  <to>
                    <xdr:col>20</xdr:col>
                    <xdr:colOff>295275</xdr:colOff>
                    <xdr:row>6</xdr:row>
                    <xdr:rowOff>171450</xdr:rowOff>
                  </to>
                </anchor>
              </controlPr>
            </control>
          </mc:Choice>
        </mc:AlternateContent>
        <mc:AlternateContent xmlns:mc="http://schemas.openxmlformats.org/markup-compatibility/2006">
          <mc:Choice Requires="x14">
            <control shapeId="45754" r:id="rId131" name="LeftSide">
              <controlPr locked="0" defaultSize="0" autoFill="0" autoLine="0" autoPict="0" altText="Sides">
                <anchor moveWithCells="1" sizeWithCells="1">
                  <from>
                    <xdr:col>20</xdr:col>
                    <xdr:colOff>323850</xdr:colOff>
                    <xdr:row>7</xdr:row>
                    <xdr:rowOff>19050</xdr:rowOff>
                  </from>
                  <to>
                    <xdr:col>20</xdr:col>
                    <xdr:colOff>457200</xdr:colOff>
                    <xdr:row>7</xdr:row>
                    <xdr:rowOff>171450</xdr:rowOff>
                  </to>
                </anchor>
              </controlPr>
            </control>
          </mc:Choice>
        </mc:AlternateContent>
        <mc:AlternateContent xmlns:mc="http://schemas.openxmlformats.org/markup-compatibility/2006">
          <mc:Choice Requires="x14">
            <control shapeId="45755" r:id="rId132" name="RightSide">
              <controlPr defaultSize="0" autoFill="0" autoLine="0" autoPict="0" altText="Sides">
                <anchor moveWithCells="1" sizeWithCells="1">
                  <from>
                    <xdr:col>20</xdr:col>
                    <xdr:colOff>485775</xdr:colOff>
                    <xdr:row>7</xdr:row>
                    <xdr:rowOff>19050</xdr:rowOff>
                  </from>
                  <to>
                    <xdr:col>20</xdr:col>
                    <xdr:colOff>619125</xdr:colOff>
                    <xdr:row>7</xdr:row>
                    <xdr:rowOff>171450</xdr:rowOff>
                  </to>
                </anchor>
              </controlPr>
            </control>
          </mc:Choice>
        </mc:AlternateContent>
        <mc:AlternateContent xmlns:mc="http://schemas.openxmlformats.org/markup-compatibility/2006">
          <mc:Choice Requires="x14">
            <control shapeId="45756" r:id="rId133" name="TopSide">
              <controlPr defaultSize="0" autoFill="0" autoLine="0" autoPict="0" altText="Sides">
                <anchor moveWithCells="1" sizeWithCells="1">
                  <from>
                    <xdr:col>20</xdr:col>
                    <xdr:colOff>0</xdr:colOff>
                    <xdr:row>7</xdr:row>
                    <xdr:rowOff>19050</xdr:rowOff>
                  </from>
                  <to>
                    <xdr:col>20</xdr:col>
                    <xdr:colOff>133350</xdr:colOff>
                    <xdr:row>7</xdr:row>
                    <xdr:rowOff>171450</xdr:rowOff>
                  </to>
                </anchor>
              </controlPr>
            </control>
          </mc:Choice>
        </mc:AlternateContent>
        <mc:AlternateContent xmlns:mc="http://schemas.openxmlformats.org/markup-compatibility/2006">
          <mc:Choice Requires="x14">
            <control shapeId="45757" r:id="rId134" name="BottomSide">
              <controlPr defaultSize="0" autoFill="0" autoLine="0" autoPict="0" altText="Sides">
                <anchor moveWithCells="1" sizeWithCells="1">
                  <from>
                    <xdr:col>20</xdr:col>
                    <xdr:colOff>161925</xdr:colOff>
                    <xdr:row>7</xdr:row>
                    <xdr:rowOff>19050</xdr:rowOff>
                  </from>
                  <to>
                    <xdr:col>20</xdr:col>
                    <xdr:colOff>295275</xdr:colOff>
                    <xdr:row>7</xdr:row>
                    <xdr:rowOff>171450</xdr:rowOff>
                  </to>
                </anchor>
              </controlPr>
            </control>
          </mc:Choice>
        </mc:AlternateContent>
        <mc:AlternateContent xmlns:mc="http://schemas.openxmlformats.org/markup-compatibility/2006">
          <mc:Choice Requires="x14">
            <control shapeId="45758" r:id="rId135" name="LeftSide">
              <controlPr locked="0" defaultSize="0" autoFill="0" autoLine="0" autoPict="0" altText="Sides">
                <anchor moveWithCells="1" sizeWithCells="1">
                  <from>
                    <xdr:col>20</xdr:col>
                    <xdr:colOff>323850</xdr:colOff>
                    <xdr:row>8</xdr:row>
                    <xdr:rowOff>28575</xdr:rowOff>
                  </from>
                  <to>
                    <xdr:col>20</xdr:col>
                    <xdr:colOff>457200</xdr:colOff>
                    <xdr:row>8</xdr:row>
                    <xdr:rowOff>171450</xdr:rowOff>
                  </to>
                </anchor>
              </controlPr>
            </control>
          </mc:Choice>
        </mc:AlternateContent>
        <mc:AlternateContent xmlns:mc="http://schemas.openxmlformats.org/markup-compatibility/2006">
          <mc:Choice Requires="x14">
            <control shapeId="45759" r:id="rId136" name="RightSide">
              <controlPr defaultSize="0" autoFill="0" autoLine="0" autoPict="0" altText="Sides">
                <anchor moveWithCells="1" sizeWithCells="1">
                  <from>
                    <xdr:col>20</xdr:col>
                    <xdr:colOff>485775</xdr:colOff>
                    <xdr:row>8</xdr:row>
                    <xdr:rowOff>28575</xdr:rowOff>
                  </from>
                  <to>
                    <xdr:col>20</xdr:col>
                    <xdr:colOff>619125</xdr:colOff>
                    <xdr:row>8</xdr:row>
                    <xdr:rowOff>171450</xdr:rowOff>
                  </to>
                </anchor>
              </controlPr>
            </control>
          </mc:Choice>
        </mc:AlternateContent>
        <mc:AlternateContent xmlns:mc="http://schemas.openxmlformats.org/markup-compatibility/2006">
          <mc:Choice Requires="x14">
            <control shapeId="45760" r:id="rId137" name="TopSide">
              <controlPr defaultSize="0" autoFill="0" autoLine="0" autoPict="0" altText="Sides">
                <anchor moveWithCells="1" sizeWithCells="1">
                  <from>
                    <xdr:col>20</xdr:col>
                    <xdr:colOff>0</xdr:colOff>
                    <xdr:row>8</xdr:row>
                    <xdr:rowOff>28575</xdr:rowOff>
                  </from>
                  <to>
                    <xdr:col>20</xdr:col>
                    <xdr:colOff>133350</xdr:colOff>
                    <xdr:row>8</xdr:row>
                    <xdr:rowOff>171450</xdr:rowOff>
                  </to>
                </anchor>
              </controlPr>
            </control>
          </mc:Choice>
        </mc:AlternateContent>
        <mc:AlternateContent xmlns:mc="http://schemas.openxmlformats.org/markup-compatibility/2006">
          <mc:Choice Requires="x14">
            <control shapeId="45761" r:id="rId138" name="BottomSide">
              <controlPr defaultSize="0" autoFill="0" autoLine="0" autoPict="0" altText="Sides">
                <anchor moveWithCells="1" sizeWithCells="1">
                  <from>
                    <xdr:col>20</xdr:col>
                    <xdr:colOff>161925</xdr:colOff>
                    <xdr:row>8</xdr:row>
                    <xdr:rowOff>28575</xdr:rowOff>
                  </from>
                  <to>
                    <xdr:col>20</xdr:col>
                    <xdr:colOff>295275</xdr:colOff>
                    <xdr:row>8</xdr:row>
                    <xdr:rowOff>171450</xdr:rowOff>
                  </to>
                </anchor>
              </controlPr>
            </control>
          </mc:Choice>
        </mc:AlternateContent>
        <mc:AlternateContent xmlns:mc="http://schemas.openxmlformats.org/markup-compatibility/2006">
          <mc:Choice Requires="x14">
            <control shapeId="45762" r:id="rId139" name="LeftSide">
              <controlPr locked="0" defaultSize="0" autoFill="0" autoLine="0" autoPict="0" altText="Sides">
                <anchor moveWithCells="1" sizeWithCells="1">
                  <from>
                    <xdr:col>20</xdr:col>
                    <xdr:colOff>323850</xdr:colOff>
                    <xdr:row>9</xdr:row>
                    <xdr:rowOff>28575</xdr:rowOff>
                  </from>
                  <to>
                    <xdr:col>20</xdr:col>
                    <xdr:colOff>457200</xdr:colOff>
                    <xdr:row>9</xdr:row>
                    <xdr:rowOff>171450</xdr:rowOff>
                  </to>
                </anchor>
              </controlPr>
            </control>
          </mc:Choice>
        </mc:AlternateContent>
        <mc:AlternateContent xmlns:mc="http://schemas.openxmlformats.org/markup-compatibility/2006">
          <mc:Choice Requires="x14">
            <control shapeId="45763" r:id="rId140" name="RightSide">
              <controlPr defaultSize="0" autoFill="0" autoLine="0" autoPict="0" altText="Sides">
                <anchor moveWithCells="1" sizeWithCells="1">
                  <from>
                    <xdr:col>20</xdr:col>
                    <xdr:colOff>485775</xdr:colOff>
                    <xdr:row>9</xdr:row>
                    <xdr:rowOff>28575</xdr:rowOff>
                  </from>
                  <to>
                    <xdr:col>20</xdr:col>
                    <xdr:colOff>619125</xdr:colOff>
                    <xdr:row>9</xdr:row>
                    <xdr:rowOff>171450</xdr:rowOff>
                  </to>
                </anchor>
              </controlPr>
            </control>
          </mc:Choice>
        </mc:AlternateContent>
        <mc:AlternateContent xmlns:mc="http://schemas.openxmlformats.org/markup-compatibility/2006">
          <mc:Choice Requires="x14">
            <control shapeId="45764" r:id="rId141" name="TopSide">
              <controlPr defaultSize="0" autoFill="0" autoLine="0" autoPict="0" altText="Sides">
                <anchor moveWithCells="1" sizeWithCells="1">
                  <from>
                    <xdr:col>20</xdr:col>
                    <xdr:colOff>0</xdr:colOff>
                    <xdr:row>9</xdr:row>
                    <xdr:rowOff>28575</xdr:rowOff>
                  </from>
                  <to>
                    <xdr:col>20</xdr:col>
                    <xdr:colOff>133350</xdr:colOff>
                    <xdr:row>9</xdr:row>
                    <xdr:rowOff>171450</xdr:rowOff>
                  </to>
                </anchor>
              </controlPr>
            </control>
          </mc:Choice>
        </mc:AlternateContent>
        <mc:AlternateContent xmlns:mc="http://schemas.openxmlformats.org/markup-compatibility/2006">
          <mc:Choice Requires="x14">
            <control shapeId="45765" r:id="rId142" name="BottomSide">
              <controlPr defaultSize="0" autoFill="0" autoLine="0" autoPict="0" altText="Sides">
                <anchor moveWithCells="1" sizeWithCells="1">
                  <from>
                    <xdr:col>20</xdr:col>
                    <xdr:colOff>161925</xdr:colOff>
                    <xdr:row>9</xdr:row>
                    <xdr:rowOff>28575</xdr:rowOff>
                  </from>
                  <to>
                    <xdr:col>20</xdr:col>
                    <xdr:colOff>295275</xdr:colOff>
                    <xdr:row>9</xdr:row>
                    <xdr:rowOff>171450</xdr:rowOff>
                  </to>
                </anchor>
              </controlPr>
            </control>
          </mc:Choice>
        </mc:AlternateContent>
        <mc:AlternateContent xmlns:mc="http://schemas.openxmlformats.org/markup-compatibility/2006">
          <mc:Choice Requires="x14">
            <control shapeId="45766" r:id="rId143" name="LeftSide">
              <controlPr locked="0" defaultSize="0" autoFill="0" autoLine="0" autoPict="0" altText="Sides">
                <anchor moveWithCells="1" sizeWithCells="1">
                  <from>
                    <xdr:col>20</xdr:col>
                    <xdr:colOff>323850</xdr:colOff>
                    <xdr:row>10</xdr:row>
                    <xdr:rowOff>28575</xdr:rowOff>
                  </from>
                  <to>
                    <xdr:col>20</xdr:col>
                    <xdr:colOff>457200</xdr:colOff>
                    <xdr:row>10</xdr:row>
                    <xdr:rowOff>180975</xdr:rowOff>
                  </to>
                </anchor>
              </controlPr>
            </control>
          </mc:Choice>
        </mc:AlternateContent>
        <mc:AlternateContent xmlns:mc="http://schemas.openxmlformats.org/markup-compatibility/2006">
          <mc:Choice Requires="x14">
            <control shapeId="45767" r:id="rId144" name="RightSide">
              <controlPr defaultSize="0" autoFill="0" autoLine="0" autoPict="0" altText="Sides">
                <anchor moveWithCells="1" sizeWithCells="1">
                  <from>
                    <xdr:col>20</xdr:col>
                    <xdr:colOff>485775</xdr:colOff>
                    <xdr:row>10</xdr:row>
                    <xdr:rowOff>28575</xdr:rowOff>
                  </from>
                  <to>
                    <xdr:col>20</xdr:col>
                    <xdr:colOff>619125</xdr:colOff>
                    <xdr:row>10</xdr:row>
                    <xdr:rowOff>180975</xdr:rowOff>
                  </to>
                </anchor>
              </controlPr>
            </control>
          </mc:Choice>
        </mc:AlternateContent>
        <mc:AlternateContent xmlns:mc="http://schemas.openxmlformats.org/markup-compatibility/2006">
          <mc:Choice Requires="x14">
            <control shapeId="45768" r:id="rId145" name="TopSide">
              <controlPr defaultSize="0" autoFill="0" autoLine="0" autoPict="0" altText="Sides">
                <anchor moveWithCells="1" sizeWithCells="1">
                  <from>
                    <xdr:col>20</xdr:col>
                    <xdr:colOff>0</xdr:colOff>
                    <xdr:row>10</xdr:row>
                    <xdr:rowOff>28575</xdr:rowOff>
                  </from>
                  <to>
                    <xdr:col>20</xdr:col>
                    <xdr:colOff>133350</xdr:colOff>
                    <xdr:row>10</xdr:row>
                    <xdr:rowOff>180975</xdr:rowOff>
                  </to>
                </anchor>
              </controlPr>
            </control>
          </mc:Choice>
        </mc:AlternateContent>
        <mc:AlternateContent xmlns:mc="http://schemas.openxmlformats.org/markup-compatibility/2006">
          <mc:Choice Requires="x14">
            <control shapeId="45769" r:id="rId146" name="BottomSide">
              <controlPr defaultSize="0" autoFill="0" autoLine="0" autoPict="0" altText="Sides">
                <anchor moveWithCells="1" sizeWithCells="1">
                  <from>
                    <xdr:col>20</xdr:col>
                    <xdr:colOff>161925</xdr:colOff>
                    <xdr:row>10</xdr:row>
                    <xdr:rowOff>28575</xdr:rowOff>
                  </from>
                  <to>
                    <xdr:col>20</xdr:col>
                    <xdr:colOff>295275</xdr:colOff>
                    <xdr:row>10</xdr:row>
                    <xdr:rowOff>180975</xdr:rowOff>
                  </to>
                </anchor>
              </controlPr>
            </control>
          </mc:Choice>
        </mc:AlternateContent>
        <mc:AlternateContent xmlns:mc="http://schemas.openxmlformats.org/markup-compatibility/2006">
          <mc:Choice Requires="x14">
            <control shapeId="45770" r:id="rId147" name="LeftSide">
              <controlPr locked="0" defaultSize="0" autoFill="0" autoLine="0" autoPict="0" altText="Sides">
                <anchor moveWithCells="1" sizeWithCells="1">
                  <from>
                    <xdr:col>20</xdr:col>
                    <xdr:colOff>323850</xdr:colOff>
                    <xdr:row>11</xdr:row>
                    <xdr:rowOff>28575</xdr:rowOff>
                  </from>
                  <to>
                    <xdr:col>20</xdr:col>
                    <xdr:colOff>457200</xdr:colOff>
                    <xdr:row>11</xdr:row>
                    <xdr:rowOff>180975</xdr:rowOff>
                  </to>
                </anchor>
              </controlPr>
            </control>
          </mc:Choice>
        </mc:AlternateContent>
        <mc:AlternateContent xmlns:mc="http://schemas.openxmlformats.org/markup-compatibility/2006">
          <mc:Choice Requires="x14">
            <control shapeId="45771" r:id="rId148" name="RightSide">
              <controlPr defaultSize="0" autoFill="0" autoLine="0" autoPict="0" altText="Sides">
                <anchor moveWithCells="1" sizeWithCells="1">
                  <from>
                    <xdr:col>20</xdr:col>
                    <xdr:colOff>485775</xdr:colOff>
                    <xdr:row>11</xdr:row>
                    <xdr:rowOff>28575</xdr:rowOff>
                  </from>
                  <to>
                    <xdr:col>20</xdr:col>
                    <xdr:colOff>619125</xdr:colOff>
                    <xdr:row>11</xdr:row>
                    <xdr:rowOff>180975</xdr:rowOff>
                  </to>
                </anchor>
              </controlPr>
            </control>
          </mc:Choice>
        </mc:AlternateContent>
        <mc:AlternateContent xmlns:mc="http://schemas.openxmlformats.org/markup-compatibility/2006">
          <mc:Choice Requires="x14">
            <control shapeId="45772" r:id="rId149" name="TopSide">
              <controlPr defaultSize="0" autoFill="0" autoLine="0" autoPict="0" altText="Sides">
                <anchor moveWithCells="1" sizeWithCells="1">
                  <from>
                    <xdr:col>20</xdr:col>
                    <xdr:colOff>0</xdr:colOff>
                    <xdr:row>11</xdr:row>
                    <xdr:rowOff>28575</xdr:rowOff>
                  </from>
                  <to>
                    <xdr:col>20</xdr:col>
                    <xdr:colOff>133350</xdr:colOff>
                    <xdr:row>11</xdr:row>
                    <xdr:rowOff>180975</xdr:rowOff>
                  </to>
                </anchor>
              </controlPr>
            </control>
          </mc:Choice>
        </mc:AlternateContent>
        <mc:AlternateContent xmlns:mc="http://schemas.openxmlformats.org/markup-compatibility/2006">
          <mc:Choice Requires="x14">
            <control shapeId="45773" r:id="rId150" name="BottomSide">
              <controlPr defaultSize="0" autoFill="0" autoLine="0" autoPict="0" altText="Sides">
                <anchor moveWithCells="1" sizeWithCells="1">
                  <from>
                    <xdr:col>20</xdr:col>
                    <xdr:colOff>161925</xdr:colOff>
                    <xdr:row>11</xdr:row>
                    <xdr:rowOff>28575</xdr:rowOff>
                  </from>
                  <to>
                    <xdr:col>20</xdr:col>
                    <xdr:colOff>295275</xdr:colOff>
                    <xdr:row>11</xdr:row>
                    <xdr:rowOff>180975</xdr:rowOff>
                  </to>
                </anchor>
              </controlPr>
            </control>
          </mc:Choice>
        </mc:AlternateContent>
        <mc:AlternateContent xmlns:mc="http://schemas.openxmlformats.org/markup-compatibility/2006">
          <mc:Choice Requires="x14">
            <control shapeId="45774" r:id="rId151" name="LeftSide">
              <controlPr locked="0" defaultSize="0" autoFill="0" autoLine="0" autoPict="0" altText="Sides">
                <anchor moveWithCells="1" sizeWithCells="1">
                  <from>
                    <xdr:col>20</xdr:col>
                    <xdr:colOff>323850</xdr:colOff>
                    <xdr:row>12</xdr:row>
                    <xdr:rowOff>28575</xdr:rowOff>
                  </from>
                  <to>
                    <xdr:col>20</xdr:col>
                    <xdr:colOff>457200</xdr:colOff>
                    <xdr:row>12</xdr:row>
                    <xdr:rowOff>180975</xdr:rowOff>
                  </to>
                </anchor>
              </controlPr>
            </control>
          </mc:Choice>
        </mc:AlternateContent>
        <mc:AlternateContent xmlns:mc="http://schemas.openxmlformats.org/markup-compatibility/2006">
          <mc:Choice Requires="x14">
            <control shapeId="45775" r:id="rId152" name="RightSide">
              <controlPr defaultSize="0" autoFill="0" autoLine="0" autoPict="0" altText="Sides">
                <anchor moveWithCells="1" sizeWithCells="1">
                  <from>
                    <xdr:col>20</xdr:col>
                    <xdr:colOff>485775</xdr:colOff>
                    <xdr:row>12</xdr:row>
                    <xdr:rowOff>28575</xdr:rowOff>
                  </from>
                  <to>
                    <xdr:col>20</xdr:col>
                    <xdr:colOff>619125</xdr:colOff>
                    <xdr:row>12</xdr:row>
                    <xdr:rowOff>180975</xdr:rowOff>
                  </to>
                </anchor>
              </controlPr>
            </control>
          </mc:Choice>
        </mc:AlternateContent>
        <mc:AlternateContent xmlns:mc="http://schemas.openxmlformats.org/markup-compatibility/2006">
          <mc:Choice Requires="x14">
            <control shapeId="45776" r:id="rId153" name="TopSide">
              <controlPr defaultSize="0" autoFill="0" autoLine="0" autoPict="0" altText="Sides">
                <anchor moveWithCells="1" sizeWithCells="1">
                  <from>
                    <xdr:col>20</xdr:col>
                    <xdr:colOff>0</xdr:colOff>
                    <xdr:row>12</xdr:row>
                    <xdr:rowOff>28575</xdr:rowOff>
                  </from>
                  <to>
                    <xdr:col>20</xdr:col>
                    <xdr:colOff>133350</xdr:colOff>
                    <xdr:row>12</xdr:row>
                    <xdr:rowOff>180975</xdr:rowOff>
                  </to>
                </anchor>
              </controlPr>
            </control>
          </mc:Choice>
        </mc:AlternateContent>
        <mc:AlternateContent xmlns:mc="http://schemas.openxmlformats.org/markup-compatibility/2006">
          <mc:Choice Requires="x14">
            <control shapeId="45777" r:id="rId154" name="BottomSide">
              <controlPr defaultSize="0" autoFill="0" autoLine="0" autoPict="0" altText="Sides">
                <anchor moveWithCells="1" sizeWithCells="1">
                  <from>
                    <xdr:col>20</xdr:col>
                    <xdr:colOff>161925</xdr:colOff>
                    <xdr:row>12</xdr:row>
                    <xdr:rowOff>28575</xdr:rowOff>
                  </from>
                  <to>
                    <xdr:col>20</xdr:col>
                    <xdr:colOff>295275</xdr:colOff>
                    <xdr:row>12</xdr:row>
                    <xdr:rowOff>180975</xdr:rowOff>
                  </to>
                </anchor>
              </controlPr>
            </control>
          </mc:Choice>
        </mc:AlternateContent>
        <mc:AlternateContent xmlns:mc="http://schemas.openxmlformats.org/markup-compatibility/2006">
          <mc:Choice Requires="x14">
            <control shapeId="45778" r:id="rId155" name="LeftSide">
              <controlPr locked="0" defaultSize="0" autoFill="0" autoLine="0" autoPict="0" altText="Sides">
                <anchor moveWithCells="1" sizeWithCells="1">
                  <from>
                    <xdr:col>20</xdr:col>
                    <xdr:colOff>323850</xdr:colOff>
                    <xdr:row>13</xdr:row>
                    <xdr:rowOff>28575</xdr:rowOff>
                  </from>
                  <to>
                    <xdr:col>20</xdr:col>
                    <xdr:colOff>457200</xdr:colOff>
                    <xdr:row>13</xdr:row>
                    <xdr:rowOff>180975</xdr:rowOff>
                  </to>
                </anchor>
              </controlPr>
            </control>
          </mc:Choice>
        </mc:AlternateContent>
        <mc:AlternateContent xmlns:mc="http://schemas.openxmlformats.org/markup-compatibility/2006">
          <mc:Choice Requires="x14">
            <control shapeId="45779" r:id="rId156" name="RightSide">
              <controlPr defaultSize="0" autoFill="0" autoLine="0" autoPict="0" altText="Sides">
                <anchor moveWithCells="1" sizeWithCells="1">
                  <from>
                    <xdr:col>20</xdr:col>
                    <xdr:colOff>485775</xdr:colOff>
                    <xdr:row>13</xdr:row>
                    <xdr:rowOff>28575</xdr:rowOff>
                  </from>
                  <to>
                    <xdr:col>20</xdr:col>
                    <xdr:colOff>619125</xdr:colOff>
                    <xdr:row>13</xdr:row>
                    <xdr:rowOff>180975</xdr:rowOff>
                  </to>
                </anchor>
              </controlPr>
            </control>
          </mc:Choice>
        </mc:AlternateContent>
        <mc:AlternateContent xmlns:mc="http://schemas.openxmlformats.org/markup-compatibility/2006">
          <mc:Choice Requires="x14">
            <control shapeId="45780" r:id="rId157" name="TopSide">
              <controlPr defaultSize="0" autoFill="0" autoLine="0" autoPict="0" altText="Sides">
                <anchor moveWithCells="1" sizeWithCells="1">
                  <from>
                    <xdr:col>20</xdr:col>
                    <xdr:colOff>0</xdr:colOff>
                    <xdr:row>13</xdr:row>
                    <xdr:rowOff>28575</xdr:rowOff>
                  </from>
                  <to>
                    <xdr:col>20</xdr:col>
                    <xdr:colOff>133350</xdr:colOff>
                    <xdr:row>13</xdr:row>
                    <xdr:rowOff>180975</xdr:rowOff>
                  </to>
                </anchor>
              </controlPr>
            </control>
          </mc:Choice>
        </mc:AlternateContent>
        <mc:AlternateContent xmlns:mc="http://schemas.openxmlformats.org/markup-compatibility/2006">
          <mc:Choice Requires="x14">
            <control shapeId="45781" r:id="rId158" name="BottomSide">
              <controlPr defaultSize="0" autoFill="0" autoLine="0" autoPict="0" altText="Sides">
                <anchor moveWithCells="1" sizeWithCells="1">
                  <from>
                    <xdr:col>20</xdr:col>
                    <xdr:colOff>161925</xdr:colOff>
                    <xdr:row>13</xdr:row>
                    <xdr:rowOff>28575</xdr:rowOff>
                  </from>
                  <to>
                    <xdr:col>20</xdr:col>
                    <xdr:colOff>295275</xdr:colOff>
                    <xdr:row>13</xdr:row>
                    <xdr:rowOff>180975</xdr:rowOff>
                  </to>
                </anchor>
              </controlPr>
            </control>
          </mc:Choice>
        </mc:AlternateContent>
        <mc:AlternateContent xmlns:mc="http://schemas.openxmlformats.org/markup-compatibility/2006">
          <mc:Choice Requires="x14">
            <control shapeId="45782" r:id="rId159" name="LeftSide">
              <controlPr locked="0" defaultSize="0" autoFill="0" autoLine="0" autoPict="0" altText="Sides">
                <anchor moveWithCells="1" sizeWithCells="1">
                  <from>
                    <xdr:col>20</xdr:col>
                    <xdr:colOff>323850</xdr:colOff>
                    <xdr:row>14</xdr:row>
                    <xdr:rowOff>28575</xdr:rowOff>
                  </from>
                  <to>
                    <xdr:col>20</xdr:col>
                    <xdr:colOff>457200</xdr:colOff>
                    <xdr:row>14</xdr:row>
                    <xdr:rowOff>180975</xdr:rowOff>
                  </to>
                </anchor>
              </controlPr>
            </control>
          </mc:Choice>
        </mc:AlternateContent>
        <mc:AlternateContent xmlns:mc="http://schemas.openxmlformats.org/markup-compatibility/2006">
          <mc:Choice Requires="x14">
            <control shapeId="45783" r:id="rId160" name="RightSide">
              <controlPr defaultSize="0" autoFill="0" autoLine="0" autoPict="0" altText="Sides">
                <anchor moveWithCells="1" sizeWithCells="1">
                  <from>
                    <xdr:col>20</xdr:col>
                    <xdr:colOff>485775</xdr:colOff>
                    <xdr:row>14</xdr:row>
                    <xdr:rowOff>28575</xdr:rowOff>
                  </from>
                  <to>
                    <xdr:col>20</xdr:col>
                    <xdr:colOff>619125</xdr:colOff>
                    <xdr:row>14</xdr:row>
                    <xdr:rowOff>180975</xdr:rowOff>
                  </to>
                </anchor>
              </controlPr>
            </control>
          </mc:Choice>
        </mc:AlternateContent>
        <mc:AlternateContent xmlns:mc="http://schemas.openxmlformats.org/markup-compatibility/2006">
          <mc:Choice Requires="x14">
            <control shapeId="45784" r:id="rId161" name="TopSide">
              <controlPr defaultSize="0" autoFill="0" autoLine="0" autoPict="0" altText="Sides">
                <anchor moveWithCells="1" sizeWithCells="1">
                  <from>
                    <xdr:col>20</xdr:col>
                    <xdr:colOff>0</xdr:colOff>
                    <xdr:row>14</xdr:row>
                    <xdr:rowOff>28575</xdr:rowOff>
                  </from>
                  <to>
                    <xdr:col>20</xdr:col>
                    <xdr:colOff>133350</xdr:colOff>
                    <xdr:row>14</xdr:row>
                    <xdr:rowOff>180975</xdr:rowOff>
                  </to>
                </anchor>
              </controlPr>
            </control>
          </mc:Choice>
        </mc:AlternateContent>
        <mc:AlternateContent xmlns:mc="http://schemas.openxmlformats.org/markup-compatibility/2006">
          <mc:Choice Requires="x14">
            <control shapeId="45785" r:id="rId162" name="BottomSide">
              <controlPr defaultSize="0" autoFill="0" autoLine="0" autoPict="0" altText="Sides">
                <anchor moveWithCells="1" sizeWithCells="1">
                  <from>
                    <xdr:col>20</xdr:col>
                    <xdr:colOff>161925</xdr:colOff>
                    <xdr:row>14</xdr:row>
                    <xdr:rowOff>28575</xdr:rowOff>
                  </from>
                  <to>
                    <xdr:col>20</xdr:col>
                    <xdr:colOff>295275</xdr:colOff>
                    <xdr:row>14</xdr:row>
                    <xdr:rowOff>180975</xdr:rowOff>
                  </to>
                </anchor>
              </controlPr>
            </control>
          </mc:Choice>
        </mc:AlternateContent>
        <mc:AlternateContent xmlns:mc="http://schemas.openxmlformats.org/markup-compatibility/2006">
          <mc:Choice Requires="x14">
            <control shapeId="45786" r:id="rId163" name="LeftSide">
              <controlPr locked="0" defaultSize="0" autoFill="0" autoLine="0" autoPict="0" altText="Sides">
                <anchor moveWithCells="1" sizeWithCells="1">
                  <from>
                    <xdr:col>20</xdr:col>
                    <xdr:colOff>323850</xdr:colOff>
                    <xdr:row>15</xdr:row>
                    <xdr:rowOff>38100</xdr:rowOff>
                  </from>
                  <to>
                    <xdr:col>20</xdr:col>
                    <xdr:colOff>457200</xdr:colOff>
                    <xdr:row>15</xdr:row>
                    <xdr:rowOff>180975</xdr:rowOff>
                  </to>
                </anchor>
              </controlPr>
            </control>
          </mc:Choice>
        </mc:AlternateContent>
        <mc:AlternateContent xmlns:mc="http://schemas.openxmlformats.org/markup-compatibility/2006">
          <mc:Choice Requires="x14">
            <control shapeId="45787" r:id="rId164" name="RightSide">
              <controlPr defaultSize="0" autoFill="0" autoLine="0" autoPict="0" altText="Sides">
                <anchor moveWithCells="1" sizeWithCells="1">
                  <from>
                    <xdr:col>20</xdr:col>
                    <xdr:colOff>485775</xdr:colOff>
                    <xdr:row>15</xdr:row>
                    <xdr:rowOff>38100</xdr:rowOff>
                  </from>
                  <to>
                    <xdr:col>20</xdr:col>
                    <xdr:colOff>619125</xdr:colOff>
                    <xdr:row>15</xdr:row>
                    <xdr:rowOff>180975</xdr:rowOff>
                  </to>
                </anchor>
              </controlPr>
            </control>
          </mc:Choice>
        </mc:AlternateContent>
        <mc:AlternateContent xmlns:mc="http://schemas.openxmlformats.org/markup-compatibility/2006">
          <mc:Choice Requires="x14">
            <control shapeId="45788" r:id="rId165" name="TopSide">
              <controlPr defaultSize="0" autoFill="0" autoLine="0" autoPict="0" altText="Sides">
                <anchor moveWithCells="1" sizeWithCells="1">
                  <from>
                    <xdr:col>20</xdr:col>
                    <xdr:colOff>0</xdr:colOff>
                    <xdr:row>15</xdr:row>
                    <xdr:rowOff>38100</xdr:rowOff>
                  </from>
                  <to>
                    <xdr:col>20</xdr:col>
                    <xdr:colOff>133350</xdr:colOff>
                    <xdr:row>15</xdr:row>
                    <xdr:rowOff>180975</xdr:rowOff>
                  </to>
                </anchor>
              </controlPr>
            </control>
          </mc:Choice>
        </mc:AlternateContent>
        <mc:AlternateContent xmlns:mc="http://schemas.openxmlformats.org/markup-compatibility/2006">
          <mc:Choice Requires="x14">
            <control shapeId="45789" r:id="rId166" name="BottomSide">
              <controlPr defaultSize="0" autoFill="0" autoLine="0" autoPict="0" altText="Sides">
                <anchor moveWithCells="1" sizeWithCells="1">
                  <from>
                    <xdr:col>20</xdr:col>
                    <xdr:colOff>161925</xdr:colOff>
                    <xdr:row>15</xdr:row>
                    <xdr:rowOff>38100</xdr:rowOff>
                  </from>
                  <to>
                    <xdr:col>20</xdr:col>
                    <xdr:colOff>295275</xdr:colOff>
                    <xdr:row>15</xdr:row>
                    <xdr:rowOff>180975</xdr:rowOff>
                  </to>
                </anchor>
              </controlPr>
            </control>
          </mc:Choice>
        </mc:AlternateContent>
        <mc:AlternateContent xmlns:mc="http://schemas.openxmlformats.org/markup-compatibility/2006">
          <mc:Choice Requires="x14">
            <control shapeId="45790" r:id="rId167" name="LeftSide">
              <controlPr locked="0" defaultSize="0" autoFill="0" autoLine="0" autoPict="0" altText="Sides">
                <anchor moveWithCells="1" sizeWithCells="1">
                  <from>
                    <xdr:col>20</xdr:col>
                    <xdr:colOff>323850</xdr:colOff>
                    <xdr:row>16</xdr:row>
                    <xdr:rowOff>38100</xdr:rowOff>
                  </from>
                  <to>
                    <xdr:col>20</xdr:col>
                    <xdr:colOff>457200</xdr:colOff>
                    <xdr:row>16</xdr:row>
                    <xdr:rowOff>180975</xdr:rowOff>
                  </to>
                </anchor>
              </controlPr>
            </control>
          </mc:Choice>
        </mc:AlternateContent>
        <mc:AlternateContent xmlns:mc="http://schemas.openxmlformats.org/markup-compatibility/2006">
          <mc:Choice Requires="x14">
            <control shapeId="45791" r:id="rId168" name="RightSide">
              <controlPr defaultSize="0" autoFill="0" autoLine="0" autoPict="0" altText="Sides">
                <anchor moveWithCells="1" sizeWithCells="1">
                  <from>
                    <xdr:col>20</xdr:col>
                    <xdr:colOff>485775</xdr:colOff>
                    <xdr:row>16</xdr:row>
                    <xdr:rowOff>38100</xdr:rowOff>
                  </from>
                  <to>
                    <xdr:col>20</xdr:col>
                    <xdr:colOff>619125</xdr:colOff>
                    <xdr:row>16</xdr:row>
                    <xdr:rowOff>180975</xdr:rowOff>
                  </to>
                </anchor>
              </controlPr>
            </control>
          </mc:Choice>
        </mc:AlternateContent>
        <mc:AlternateContent xmlns:mc="http://schemas.openxmlformats.org/markup-compatibility/2006">
          <mc:Choice Requires="x14">
            <control shapeId="45792" r:id="rId169" name="TopSide">
              <controlPr defaultSize="0" autoFill="0" autoLine="0" autoPict="0" altText="Sides">
                <anchor moveWithCells="1" sizeWithCells="1">
                  <from>
                    <xdr:col>20</xdr:col>
                    <xdr:colOff>0</xdr:colOff>
                    <xdr:row>16</xdr:row>
                    <xdr:rowOff>38100</xdr:rowOff>
                  </from>
                  <to>
                    <xdr:col>20</xdr:col>
                    <xdr:colOff>133350</xdr:colOff>
                    <xdr:row>16</xdr:row>
                    <xdr:rowOff>180975</xdr:rowOff>
                  </to>
                </anchor>
              </controlPr>
            </control>
          </mc:Choice>
        </mc:AlternateContent>
        <mc:AlternateContent xmlns:mc="http://schemas.openxmlformats.org/markup-compatibility/2006">
          <mc:Choice Requires="x14">
            <control shapeId="45793" r:id="rId170" name="BottomSide">
              <controlPr defaultSize="0" autoFill="0" autoLine="0" autoPict="0" altText="Sides">
                <anchor moveWithCells="1" sizeWithCells="1">
                  <from>
                    <xdr:col>20</xdr:col>
                    <xdr:colOff>161925</xdr:colOff>
                    <xdr:row>16</xdr:row>
                    <xdr:rowOff>38100</xdr:rowOff>
                  </from>
                  <to>
                    <xdr:col>20</xdr:col>
                    <xdr:colOff>295275</xdr:colOff>
                    <xdr:row>16</xdr:row>
                    <xdr:rowOff>180975</xdr:rowOff>
                  </to>
                </anchor>
              </controlPr>
            </control>
          </mc:Choice>
        </mc:AlternateContent>
        <mc:AlternateContent xmlns:mc="http://schemas.openxmlformats.org/markup-compatibility/2006">
          <mc:Choice Requires="x14">
            <control shapeId="45794" r:id="rId171" name="LeftSide">
              <controlPr locked="0" defaultSize="0" autoFill="0" autoLine="0" autoPict="0" altText="Sides">
                <anchor moveWithCells="1" sizeWithCells="1">
                  <from>
                    <xdr:col>20</xdr:col>
                    <xdr:colOff>323850</xdr:colOff>
                    <xdr:row>17</xdr:row>
                    <xdr:rowOff>38100</xdr:rowOff>
                  </from>
                  <to>
                    <xdr:col>20</xdr:col>
                    <xdr:colOff>457200</xdr:colOff>
                    <xdr:row>17</xdr:row>
                    <xdr:rowOff>190500</xdr:rowOff>
                  </to>
                </anchor>
              </controlPr>
            </control>
          </mc:Choice>
        </mc:AlternateContent>
        <mc:AlternateContent xmlns:mc="http://schemas.openxmlformats.org/markup-compatibility/2006">
          <mc:Choice Requires="x14">
            <control shapeId="45795" r:id="rId172" name="RightSide">
              <controlPr defaultSize="0" autoFill="0" autoLine="0" autoPict="0" altText="Sides">
                <anchor moveWithCells="1" sizeWithCells="1">
                  <from>
                    <xdr:col>20</xdr:col>
                    <xdr:colOff>485775</xdr:colOff>
                    <xdr:row>17</xdr:row>
                    <xdr:rowOff>38100</xdr:rowOff>
                  </from>
                  <to>
                    <xdr:col>20</xdr:col>
                    <xdr:colOff>619125</xdr:colOff>
                    <xdr:row>17</xdr:row>
                    <xdr:rowOff>190500</xdr:rowOff>
                  </to>
                </anchor>
              </controlPr>
            </control>
          </mc:Choice>
        </mc:AlternateContent>
        <mc:AlternateContent xmlns:mc="http://schemas.openxmlformats.org/markup-compatibility/2006">
          <mc:Choice Requires="x14">
            <control shapeId="45796" r:id="rId173" name="TopSide">
              <controlPr defaultSize="0" autoFill="0" autoLine="0" autoPict="0" altText="Sides">
                <anchor moveWithCells="1" sizeWithCells="1">
                  <from>
                    <xdr:col>20</xdr:col>
                    <xdr:colOff>0</xdr:colOff>
                    <xdr:row>17</xdr:row>
                    <xdr:rowOff>38100</xdr:rowOff>
                  </from>
                  <to>
                    <xdr:col>20</xdr:col>
                    <xdr:colOff>133350</xdr:colOff>
                    <xdr:row>17</xdr:row>
                    <xdr:rowOff>190500</xdr:rowOff>
                  </to>
                </anchor>
              </controlPr>
            </control>
          </mc:Choice>
        </mc:AlternateContent>
        <mc:AlternateContent xmlns:mc="http://schemas.openxmlformats.org/markup-compatibility/2006">
          <mc:Choice Requires="x14">
            <control shapeId="45797" r:id="rId174" name="BottomSide">
              <controlPr defaultSize="0" autoFill="0" autoLine="0" autoPict="0" altText="Sides">
                <anchor moveWithCells="1" sizeWithCells="1">
                  <from>
                    <xdr:col>20</xdr:col>
                    <xdr:colOff>161925</xdr:colOff>
                    <xdr:row>17</xdr:row>
                    <xdr:rowOff>38100</xdr:rowOff>
                  </from>
                  <to>
                    <xdr:col>20</xdr:col>
                    <xdr:colOff>295275</xdr:colOff>
                    <xdr:row>17</xdr:row>
                    <xdr:rowOff>190500</xdr:rowOff>
                  </to>
                </anchor>
              </controlPr>
            </control>
          </mc:Choice>
        </mc:AlternateContent>
        <mc:AlternateContent xmlns:mc="http://schemas.openxmlformats.org/markup-compatibility/2006">
          <mc:Choice Requires="x14">
            <control shapeId="45798" r:id="rId175" name="LeftSide">
              <controlPr locked="0" defaultSize="0" autoFill="0" autoLine="0" autoPict="0" altText="Sides">
                <anchor moveWithCells="1" sizeWithCells="1">
                  <from>
                    <xdr:col>20</xdr:col>
                    <xdr:colOff>323850</xdr:colOff>
                    <xdr:row>18</xdr:row>
                    <xdr:rowOff>38100</xdr:rowOff>
                  </from>
                  <to>
                    <xdr:col>20</xdr:col>
                    <xdr:colOff>457200</xdr:colOff>
                    <xdr:row>18</xdr:row>
                    <xdr:rowOff>190500</xdr:rowOff>
                  </to>
                </anchor>
              </controlPr>
            </control>
          </mc:Choice>
        </mc:AlternateContent>
        <mc:AlternateContent xmlns:mc="http://schemas.openxmlformats.org/markup-compatibility/2006">
          <mc:Choice Requires="x14">
            <control shapeId="45799" r:id="rId176" name="RightSide">
              <controlPr defaultSize="0" autoFill="0" autoLine="0" autoPict="0" altText="Sides">
                <anchor moveWithCells="1" sizeWithCells="1">
                  <from>
                    <xdr:col>20</xdr:col>
                    <xdr:colOff>485775</xdr:colOff>
                    <xdr:row>18</xdr:row>
                    <xdr:rowOff>38100</xdr:rowOff>
                  </from>
                  <to>
                    <xdr:col>20</xdr:col>
                    <xdr:colOff>619125</xdr:colOff>
                    <xdr:row>18</xdr:row>
                    <xdr:rowOff>190500</xdr:rowOff>
                  </to>
                </anchor>
              </controlPr>
            </control>
          </mc:Choice>
        </mc:AlternateContent>
        <mc:AlternateContent xmlns:mc="http://schemas.openxmlformats.org/markup-compatibility/2006">
          <mc:Choice Requires="x14">
            <control shapeId="45800" r:id="rId177" name="TopSide">
              <controlPr defaultSize="0" autoFill="0" autoLine="0" autoPict="0" altText="Sides">
                <anchor moveWithCells="1" sizeWithCells="1">
                  <from>
                    <xdr:col>20</xdr:col>
                    <xdr:colOff>0</xdr:colOff>
                    <xdr:row>18</xdr:row>
                    <xdr:rowOff>38100</xdr:rowOff>
                  </from>
                  <to>
                    <xdr:col>20</xdr:col>
                    <xdr:colOff>133350</xdr:colOff>
                    <xdr:row>18</xdr:row>
                    <xdr:rowOff>190500</xdr:rowOff>
                  </to>
                </anchor>
              </controlPr>
            </control>
          </mc:Choice>
        </mc:AlternateContent>
        <mc:AlternateContent xmlns:mc="http://schemas.openxmlformats.org/markup-compatibility/2006">
          <mc:Choice Requires="x14">
            <control shapeId="45801" r:id="rId178" name="BottomSide">
              <controlPr defaultSize="0" autoFill="0" autoLine="0" autoPict="0" altText="Sides">
                <anchor moveWithCells="1" sizeWithCells="1">
                  <from>
                    <xdr:col>20</xdr:col>
                    <xdr:colOff>161925</xdr:colOff>
                    <xdr:row>18</xdr:row>
                    <xdr:rowOff>38100</xdr:rowOff>
                  </from>
                  <to>
                    <xdr:col>20</xdr:col>
                    <xdr:colOff>295275</xdr:colOff>
                    <xdr:row>18</xdr:row>
                    <xdr:rowOff>190500</xdr:rowOff>
                  </to>
                </anchor>
              </controlPr>
            </control>
          </mc:Choice>
        </mc:AlternateContent>
        <mc:AlternateContent xmlns:mc="http://schemas.openxmlformats.org/markup-compatibility/2006">
          <mc:Choice Requires="x14">
            <control shapeId="45802" r:id="rId179" name="LeftSide">
              <controlPr locked="0" defaultSize="0" autoFill="0" autoLine="0" autoPict="0" altText="Sides">
                <anchor moveWithCells="1" sizeWithCells="1">
                  <from>
                    <xdr:col>20</xdr:col>
                    <xdr:colOff>323850</xdr:colOff>
                    <xdr:row>19</xdr:row>
                    <xdr:rowOff>38100</xdr:rowOff>
                  </from>
                  <to>
                    <xdr:col>20</xdr:col>
                    <xdr:colOff>457200</xdr:colOff>
                    <xdr:row>19</xdr:row>
                    <xdr:rowOff>190500</xdr:rowOff>
                  </to>
                </anchor>
              </controlPr>
            </control>
          </mc:Choice>
        </mc:AlternateContent>
        <mc:AlternateContent xmlns:mc="http://schemas.openxmlformats.org/markup-compatibility/2006">
          <mc:Choice Requires="x14">
            <control shapeId="45803" r:id="rId180" name="RightSide">
              <controlPr defaultSize="0" autoFill="0" autoLine="0" autoPict="0" altText="Sides">
                <anchor moveWithCells="1" sizeWithCells="1">
                  <from>
                    <xdr:col>20</xdr:col>
                    <xdr:colOff>485775</xdr:colOff>
                    <xdr:row>19</xdr:row>
                    <xdr:rowOff>38100</xdr:rowOff>
                  </from>
                  <to>
                    <xdr:col>20</xdr:col>
                    <xdr:colOff>619125</xdr:colOff>
                    <xdr:row>19</xdr:row>
                    <xdr:rowOff>190500</xdr:rowOff>
                  </to>
                </anchor>
              </controlPr>
            </control>
          </mc:Choice>
        </mc:AlternateContent>
        <mc:AlternateContent xmlns:mc="http://schemas.openxmlformats.org/markup-compatibility/2006">
          <mc:Choice Requires="x14">
            <control shapeId="45804" r:id="rId181" name="TopSide">
              <controlPr defaultSize="0" autoFill="0" autoLine="0" autoPict="0" altText="Sides">
                <anchor moveWithCells="1" sizeWithCells="1">
                  <from>
                    <xdr:col>20</xdr:col>
                    <xdr:colOff>0</xdr:colOff>
                    <xdr:row>19</xdr:row>
                    <xdr:rowOff>38100</xdr:rowOff>
                  </from>
                  <to>
                    <xdr:col>20</xdr:col>
                    <xdr:colOff>133350</xdr:colOff>
                    <xdr:row>19</xdr:row>
                    <xdr:rowOff>190500</xdr:rowOff>
                  </to>
                </anchor>
              </controlPr>
            </control>
          </mc:Choice>
        </mc:AlternateContent>
        <mc:AlternateContent xmlns:mc="http://schemas.openxmlformats.org/markup-compatibility/2006">
          <mc:Choice Requires="x14">
            <control shapeId="45805" r:id="rId182" name="BottomSide">
              <controlPr defaultSize="0" autoFill="0" autoLine="0" autoPict="0" altText="Sides">
                <anchor moveWithCells="1" sizeWithCells="1">
                  <from>
                    <xdr:col>20</xdr:col>
                    <xdr:colOff>161925</xdr:colOff>
                    <xdr:row>19</xdr:row>
                    <xdr:rowOff>38100</xdr:rowOff>
                  </from>
                  <to>
                    <xdr:col>20</xdr:col>
                    <xdr:colOff>295275</xdr:colOff>
                    <xdr:row>19</xdr:row>
                    <xdr:rowOff>190500</xdr:rowOff>
                  </to>
                </anchor>
              </controlPr>
            </control>
          </mc:Choice>
        </mc:AlternateContent>
        <mc:AlternateContent xmlns:mc="http://schemas.openxmlformats.org/markup-compatibility/2006">
          <mc:Choice Requires="x14">
            <control shapeId="45806" r:id="rId183" name="LeftSide">
              <controlPr locked="0" defaultSize="0" autoFill="0" autoLine="0" autoPict="0" altText="Sides">
                <anchor moveWithCells="1" sizeWithCells="1">
                  <from>
                    <xdr:col>20</xdr:col>
                    <xdr:colOff>323850</xdr:colOff>
                    <xdr:row>20</xdr:row>
                    <xdr:rowOff>38100</xdr:rowOff>
                  </from>
                  <to>
                    <xdr:col>20</xdr:col>
                    <xdr:colOff>457200</xdr:colOff>
                    <xdr:row>20</xdr:row>
                    <xdr:rowOff>190500</xdr:rowOff>
                  </to>
                </anchor>
              </controlPr>
            </control>
          </mc:Choice>
        </mc:AlternateContent>
        <mc:AlternateContent xmlns:mc="http://schemas.openxmlformats.org/markup-compatibility/2006">
          <mc:Choice Requires="x14">
            <control shapeId="45807" r:id="rId184" name="RightSide">
              <controlPr defaultSize="0" autoFill="0" autoLine="0" autoPict="0" altText="Sides">
                <anchor moveWithCells="1" sizeWithCells="1">
                  <from>
                    <xdr:col>20</xdr:col>
                    <xdr:colOff>485775</xdr:colOff>
                    <xdr:row>20</xdr:row>
                    <xdr:rowOff>38100</xdr:rowOff>
                  </from>
                  <to>
                    <xdr:col>20</xdr:col>
                    <xdr:colOff>619125</xdr:colOff>
                    <xdr:row>20</xdr:row>
                    <xdr:rowOff>190500</xdr:rowOff>
                  </to>
                </anchor>
              </controlPr>
            </control>
          </mc:Choice>
        </mc:AlternateContent>
        <mc:AlternateContent xmlns:mc="http://schemas.openxmlformats.org/markup-compatibility/2006">
          <mc:Choice Requires="x14">
            <control shapeId="45808" r:id="rId185" name="TopSide">
              <controlPr defaultSize="0" autoFill="0" autoLine="0" autoPict="0" altText="Sides">
                <anchor moveWithCells="1" sizeWithCells="1">
                  <from>
                    <xdr:col>20</xdr:col>
                    <xdr:colOff>0</xdr:colOff>
                    <xdr:row>20</xdr:row>
                    <xdr:rowOff>38100</xdr:rowOff>
                  </from>
                  <to>
                    <xdr:col>20</xdr:col>
                    <xdr:colOff>133350</xdr:colOff>
                    <xdr:row>20</xdr:row>
                    <xdr:rowOff>190500</xdr:rowOff>
                  </to>
                </anchor>
              </controlPr>
            </control>
          </mc:Choice>
        </mc:AlternateContent>
        <mc:AlternateContent xmlns:mc="http://schemas.openxmlformats.org/markup-compatibility/2006">
          <mc:Choice Requires="x14">
            <control shapeId="45809" r:id="rId186" name="BottomSide">
              <controlPr defaultSize="0" autoFill="0" autoLine="0" autoPict="0" altText="Sides">
                <anchor moveWithCells="1" sizeWithCells="1">
                  <from>
                    <xdr:col>20</xdr:col>
                    <xdr:colOff>161925</xdr:colOff>
                    <xdr:row>20</xdr:row>
                    <xdr:rowOff>38100</xdr:rowOff>
                  </from>
                  <to>
                    <xdr:col>20</xdr:col>
                    <xdr:colOff>295275</xdr:colOff>
                    <xdr:row>20</xdr:row>
                    <xdr:rowOff>190500</xdr:rowOff>
                  </to>
                </anchor>
              </controlPr>
            </control>
          </mc:Choice>
        </mc:AlternateContent>
        <mc:AlternateContent xmlns:mc="http://schemas.openxmlformats.org/markup-compatibility/2006">
          <mc:Choice Requires="x14">
            <control shapeId="45810" r:id="rId187" name="LeftSide">
              <controlPr locked="0" defaultSize="0" autoFill="0" autoLine="0" autoPict="0" altText="Sides">
                <anchor moveWithCells="1" sizeWithCells="1">
                  <from>
                    <xdr:col>20</xdr:col>
                    <xdr:colOff>323850</xdr:colOff>
                    <xdr:row>21</xdr:row>
                    <xdr:rowOff>38100</xdr:rowOff>
                  </from>
                  <to>
                    <xdr:col>20</xdr:col>
                    <xdr:colOff>457200</xdr:colOff>
                    <xdr:row>21</xdr:row>
                    <xdr:rowOff>190500</xdr:rowOff>
                  </to>
                </anchor>
              </controlPr>
            </control>
          </mc:Choice>
        </mc:AlternateContent>
        <mc:AlternateContent xmlns:mc="http://schemas.openxmlformats.org/markup-compatibility/2006">
          <mc:Choice Requires="x14">
            <control shapeId="45811" r:id="rId188" name="RightSide">
              <controlPr defaultSize="0" autoFill="0" autoLine="0" autoPict="0" altText="Sides">
                <anchor moveWithCells="1" sizeWithCells="1">
                  <from>
                    <xdr:col>20</xdr:col>
                    <xdr:colOff>485775</xdr:colOff>
                    <xdr:row>21</xdr:row>
                    <xdr:rowOff>38100</xdr:rowOff>
                  </from>
                  <to>
                    <xdr:col>20</xdr:col>
                    <xdr:colOff>619125</xdr:colOff>
                    <xdr:row>21</xdr:row>
                    <xdr:rowOff>190500</xdr:rowOff>
                  </to>
                </anchor>
              </controlPr>
            </control>
          </mc:Choice>
        </mc:AlternateContent>
        <mc:AlternateContent xmlns:mc="http://schemas.openxmlformats.org/markup-compatibility/2006">
          <mc:Choice Requires="x14">
            <control shapeId="45812" r:id="rId189" name="TopSide">
              <controlPr defaultSize="0" autoFill="0" autoLine="0" autoPict="0" altText="Sides">
                <anchor moveWithCells="1" sizeWithCells="1">
                  <from>
                    <xdr:col>20</xdr:col>
                    <xdr:colOff>0</xdr:colOff>
                    <xdr:row>21</xdr:row>
                    <xdr:rowOff>38100</xdr:rowOff>
                  </from>
                  <to>
                    <xdr:col>20</xdr:col>
                    <xdr:colOff>133350</xdr:colOff>
                    <xdr:row>21</xdr:row>
                    <xdr:rowOff>190500</xdr:rowOff>
                  </to>
                </anchor>
              </controlPr>
            </control>
          </mc:Choice>
        </mc:AlternateContent>
        <mc:AlternateContent xmlns:mc="http://schemas.openxmlformats.org/markup-compatibility/2006">
          <mc:Choice Requires="x14">
            <control shapeId="45813" r:id="rId190" name="BottomSide">
              <controlPr defaultSize="0" autoFill="0" autoLine="0" autoPict="0" altText="Sides">
                <anchor moveWithCells="1" sizeWithCells="1">
                  <from>
                    <xdr:col>20</xdr:col>
                    <xdr:colOff>161925</xdr:colOff>
                    <xdr:row>21</xdr:row>
                    <xdr:rowOff>38100</xdr:rowOff>
                  </from>
                  <to>
                    <xdr:col>20</xdr:col>
                    <xdr:colOff>295275</xdr:colOff>
                    <xdr:row>21</xdr:row>
                    <xdr:rowOff>190500</xdr:rowOff>
                  </to>
                </anchor>
              </controlPr>
            </control>
          </mc:Choice>
        </mc:AlternateContent>
        <mc:AlternateContent xmlns:mc="http://schemas.openxmlformats.org/markup-compatibility/2006">
          <mc:Choice Requires="x14">
            <control shapeId="45814" r:id="rId191" name="LeftSide">
              <controlPr locked="0" defaultSize="0" autoFill="0" autoLine="0" autoPict="0" altText="Sides">
                <anchor moveWithCells="1" sizeWithCells="1">
                  <from>
                    <xdr:col>20</xdr:col>
                    <xdr:colOff>323850</xdr:colOff>
                    <xdr:row>22</xdr:row>
                    <xdr:rowOff>47625</xdr:rowOff>
                  </from>
                  <to>
                    <xdr:col>20</xdr:col>
                    <xdr:colOff>457200</xdr:colOff>
                    <xdr:row>22</xdr:row>
                    <xdr:rowOff>190500</xdr:rowOff>
                  </to>
                </anchor>
              </controlPr>
            </control>
          </mc:Choice>
        </mc:AlternateContent>
        <mc:AlternateContent xmlns:mc="http://schemas.openxmlformats.org/markup-compatibility/2006">
          <mc:Choice Requires="x14">
            <control shapeId="45815" r:id="rId192" name="RightSide">
              <controlPr defaultSize="0" autoFill="0" autoLine="0" autoPict="0" altText="Sides">
                <anchor moveWithCells="1" sizeWithCells="1">
                  <from>
                    <xdr:col>20</xdr:col>
                    <xdr:colOff>485775</xdr:colOff>
                    <xdr:row>22</xdr:row>
                    <xdr:rowOff>47625</xdr:rowOff>
                  </from>
                  <to>
                    <xdr:col>20</xdr:col>
                    <xdr:colOff>619125</xdr:colOff>
                    <xdr:row>22</xdr:row>
                    <xdr:rowOff>190500</xdr:rowOff>
                  </to>
                </anchor>
              </controlPr>
            </control>
          </mc:Choice>
        </mc:AlternateContent>
        <mc:AlternateContent xmlns:mc="http://schemas.openxmlformats.org/markup-compatibility/2006">
          <mc:Choice Requires="x14">
            <control shapeId="45816" r:id="rId193" name="TopSide">
              <controlPr defaultSize="0" autoFill="0" autoLine="0" autoPict="0" altText="Sides">
                <anchor moveWithCells="1" sizeWithCells="1">
                  <from>
                    <xdr:col>20</xdr:col>
                    <xdr:colOff>0</xdr:colOff>
                    <xdr:row>22</xdr:row>
                    <xdr:rowOff>47625</xdr:rowOff>
                  </from>
                  <to>
                    <xdr:col>20</xdr:col>
                    <xdr:colOff>133350</xdr:colOff>
                    <xdr:row>22</xdr:row>
                    <xdr:rowOff>190500</xdr:rowOff>
                  </to>
                </anchor>
              </controlPr>
            </control>
          </mc:Choice>
        </mc:AlternateContent>
        <mc:AlternateContent xmlns:mc="http://schemas.openxmlformats.org/markup-compatibility/2006">
          <mc:Choice Requires="x14">
            <control shapeId="45817" r:id="rId194" name="BottomSide">
              <controlPr defaultSize="0" autoFill="0" autoLine="0" autoPict="0" altText="Sides">
                <anchor moveWithCells="1" sizeWithCells="1">
                  <from>
                    <xdr:col>20</xdr:col>
                    <xdr:colOff>161925</xdr:colOff>
                    <xdr:row>22</xdr:row>
                    <xdr:rowOff>47625</xdr:rowOff>
                  </from>
                  <to>
                    <xdr:col>20</xdr:col>
                    <xdr:colOff>295275</xdr:colOff>
                    <xdr:row>22</xdr:row>
                    <xdr:rowOff>190500</xdr:rowOff>
                  </to>
                </anchor>
              </controlPr>
            </control>
          </mc:Choice>
        </mc:AlternateContent>
        <mc:AlternateContent xmlns:mc="http://schemas.openxmlformats.org/markup-compatibility/2006">
          <mc:Choice Requires="x14">
            <control shapeId="45818" r:id="rId195" name="LeftSide">
              <controlPr locked="0" defaultSize="0" autoFill="0" autoLine="0" autoPict="0" altText="Sides">
                <anchor moveWithCells="1" sizeWithCells="1">
                  <from>
                    <xdr:col>20</xdr:col>
                    <xdr:colOff>323850</xdr:colOff>
                    <xdr:row>23</xdr:row>
                    <xdr:rowOff>47625</xdr:rowOff>
                  </from>
                  <to>
                    <xdr:col>20</xdr:col>
                    <xdr:colOff>457200</xdr:colOff>
                    <xdr:row>23</xdr:row>
                    <xdr:rowOff>190500</xdr:rowOff>
                  </to>
                </anchor>
              </controlPr>
            </control>
          </mc:Choice>
        </mc:AlternateContent>
        <mc:AlternateContent xmlns:mc="http://schemas.openxmlformats.org/markup-compatibility/2006">
          <mc:Choice Requires="x14">
            <control shapeId="45819" r:id="rId196" name="RightSide">
              <controlPr defaultSize="0" autoFill="0" autoLine="0" autoPict="0" altText="Sides">
                <anchor moveWithCells="1" sizeWithCells="1">
                  <from>
                    <xdr:col>20</xdr:col>
                    <xdr:colOff>485775</xdr:colOff>
                    <xdr:row>23</xdr:row>
                    <xdr:rowOff>47625</xdr:rowOff>
                  </from>
                  <to>
                    <xdr:col>20</xdr:col>
                    <xdr:colOff>619125</xdr:colOff>
                    <xdr:row>23</xdr:row>
                    <xdr:rowOff>190500</xdr:rowOff>
                  </to>
                </anchor>
              </controlPr>
            </control>
          </mc:Choice>
        </mc:AlternateContent>
        <mc:AlternateContent xmlns:mc="http://schemas.openxmlformats.org/markup-compatibility/2006">
          <mc:Choice Requires="x14">
            <control shapeId="45820" r:id="rId197" name="TopSide">
              <controlPr defaultSize="0" autoFill="0" autoLine="0" autoPict="0" altText="Sides">
                <anchor moveWithCells="1" sizeWithCells="1">
                  <from>
                    <xdr:col>20</xdr:col>
                    <xdr:colOff>0</xdr:colOff>
                    <xdr:row>23</xdr:row>
                    <xdr:rowOff>47625</xdr:rowOff>
                  </from>
                  <to>
                    <xdr:col>20</xdr:col>
                    <xdr:colOff>133350</xdr:colOff>
                    <xdr:row>23</xdr:row>
                    <xdr:rowOff>190500</xdr:rowOff>
                  </to>
                </anchor>
              </controlPr>
            </control>
          </mc:Choice>
        </mc:AlternateContent>
        <mc:AlternateContent xmlns:mc="http://schemas.openxmlformats.org/markup-compatibility/2006">
          <mc:Choice Requires="x14">
            <control shapeId="45821" r:id="rId198" name="BottomSide">
              <controlPr defaultSize="0" autoFill="0" autoLine="0" autoPict="0" altText="Sides">
                <anchor moveWithCells="1" sizeWithCells="1">
                  <from>
                    <xdr:col>20</xdr:col>
                    <xdr:colOff>161925</xdr:colOff>
                    <xdr:row>23</xdr:row>
                    <xdr:rowOff>47625</xdr:rowOff>
                  </from>
                  <to>
                    <xdr:col>20</xdr:col>
                    <xdr:colOff>295275</xdr:colOff>
                    <xdr:row>23</xdr:row>
                    <xdr:rowOff>190500</xdr:rowOff>
                  </to>
                </anchor>
              </controlPr>
            </control>
          </mc:Choice>
        </mc:AlternateContent>
        <mc:AlternateContent xmlns:mc="http://schemas.openxmlformats.org/markup-compatibility/2006">
          <mc:Choice Requires="x14">
            <control shapeId="45822" r:id="rId199" name="LeftSide">
              <controlPr locked="0" defaultSize="0" autoFill="0" autoLine="0" autoPict="0" altText="Sides">
                <anchor moveWithCells="1" sizeWithCells="1">
                  <from>
                    <xdr:col>20</xdr:col>
                    <xdr:colOff>323850</xdr:colOff>
                    <xdr:row>24</xdr:row>
                    <xdr:rowOff>47625</xdr:rowOff>
                  </from>
                  <to>
                    <xdr:col>20</xdr:col>
                    <xdr:colOff>457200</xdr:colOff>
                    <xdr:row>24</xdr:row>
                    <xdr:rowOff>200025</xdr:rowOff>
                  </to>
                </anchor>
              </controlPr>
            </control>
          </mc:Choice>
        </mc:AlternateContent>
        <mc:AlternateContent xmlns:mc="http://schemas.openxmlformats.org/markup-compatibility/2006">
          <mc:Choice Requires="x14">
            <control shapeId="45823" r:id="rId200" name="RightSide">
              <controlPr defaultSize="0" autoFill="0" autoLine="0" autoPict="0" altText="Sides">
                <anchor moveWithCells="1" sizeWithCells="1">
                  <from>
                    <xdr:col>20</xdr:col>
                    <xdr:colOff>485775</xdr:colOff>
                    <xdr:row>24</xdr:row>
                    <xdr:rowOff>47625</xdr:rowOff>
                  </from>
                  <to>
                    <xdr:col>20</xdr:col>
                    <xdr:colOff>619125</xdr:colOff>
                    <xdr:row>25</xdr:row>
                    <xdr:rowOff>0</xdr:rowOff>
                  </to>
                </anchor>
              </controlPr>
            </control>
          </mc:Choice>
        </mc:AlternateContent>
        <mc:AlternateContent xmlns:mc="http://schemas.openxmlformats.org/markup-compatibility/2006">
          <mc:Choice Requires="x14">
            <control shapeId="45824" r:id="rId201" name="TopSide">
              <controlPr defaultSize="0" autoFill="0" autoLine="0" autoPict="0" altText="Sides">
                <anchor moveWithCells="1" sizeWithCells="1">
                  <from>
                    <xdr:col>20</xdr:col>
                    <xdr:colOff>0</xdr:colOff>
                    <xdr:row>24</xdr:row>
                    <xdr:rowOff>47625</xdr:rowOff>
                  </from>
                  <to>
                    <xdr:col>20</xdr:col>
                    <xdr:colOff>133350</xdr:colOff>
                    <xdr:row>25</xdr:row>
                    <xdr:rowOff>0</xdr:rowOff>
                  </to>
                </anchor>
              </controlPr>
            </control>
          </mc:Choice>
        </mc:AlternateContent>
        <mc:AlternateContent xmlns:mc="http://schemas.openxmlformats.org/markup-compatibility/2006">
          <mc:Choice Requires="x14">
            <control shapeId="45825" r:id="rId202" name="BottomSide">
              <controlPr defaultSize="0" autoFill="0" autoLine="0" autoPict="0" altText="Sides">
                <anchor moveWithCells="1" sizeWithCells="1">
                  <from>
                    <xdr:col>20</xdr:col>
                    <xdr:colOff>161925</xdr:colOff>
                    <xdr:row>24</xdr:row>
                    <xdr:rowOff>47625</xdr:rowOff>
                  </from>
                  <to>
                    <xdr:col>20</xdr:col>
                    <xdr:colOff>295275</xdr:colOff>
                    <xdr:row>25</xdr:row>
                    <xdr:rowOff>0</xdr:rowOff>
                  </to>
                </anchor>
              </controlPr>
            </control>
          </mc:Choice>
        </mc:AlternateContent>
        <mc:AlternateContent xmlns:mc="http://schemas.openxmlformats.org/markup-compatibility/2006">
          <mc:Choice Requires="x14">
            <control shapeId="45826" r:id="rId203" name="LeftSide">
              <controlPr locked="0" defaultSize="0" autoFill="0" autoLine="0" autoPict="0" altText="Sides">
                <anchor moveWithCells="1" sizeWithCells="1">
                  <from>
                    <xdr:col>20</xdr:col>
                    <xdr:colOff>333375</xdr:colOff>
                    <xdr:row>25</xdr:row>
                    <xdr:rowOff>47625</xdr:rowOff>
                  </from>
                  <to>
                    <xdr:col>20</xdr:col>
                    <xdr:colOff>466725</xdr:colOff>
                    <xdr:row>25</xdr:row>
                    <xdr:rowOff>200025</xdr:rowOff>
                  </to>
                </anchor>
              </controlPr>
            </control>
          </mc:Choice>
        </mc:AlternateContent>
        <mc:AlternateContent xmlns:mc="http://schemas.openxmlformats.org/markup-compatibility/2006">
          <mc:Choice Requires="x14">
            <control shapeId="45827" r:id="rId204" name="RightSide">
              <controlPr defaultSize="0" autoFill="0" autoLine="0" autoPict="0" altText="Sides">
                <anchor moveWithCells="1" sizeWithCells="1">
                  <from>
                    <xdr:col>20</xdr:col>
                    <xdr:colOff>495300</xdr:colOff>
                    <xdr:row>25</xdr:row>
                    <xdr:rowOff>47625</xdr:rowOff>
                  </from>
                  <to>
                    <xdr:col>20</xdr:col>
                    <xdr:colOff>628650</xdr:colOff>
                    <xdr:row>26</xdr:row>
                    <xdr:rowOff>0</xdr:rowOff>
                  </to>
                </anchor>
              </controlPr>
            </control>
          </mc:Choice>
        </mc:AlternateContent>
        <mc:AlternateContent xmlns:mc="http://schemas.openxmlformats.org/markup-compatibility/2006">
          <mc:Choice Requires="x14">
            <control shapeId="45828" r:id="rId205" name="TopSide">
              <controlPr defaultSize="0" autoFill="0" autoLine="0" autoPict="0" altText="Sides">
                <anchor moveWithCells="1" sizeWithCells="1">
                  <from>
                    <xdr:col>20</xdr:col>
                    <xdr:colOff>0</xdr:colOff>
                    <xdr:row>25</xdr:row>
                    <xdr:rowOff>47625</xdr:rowOff>
                  </from>
                  <to>
                    <xdr:col>20</xdr:col>
                    <xdr:colOff>133350</xdr:colOff>
                    <xdr:row>26</xdr:row>
                    <xdr:rowOff>0</xdr:rowOff>
                  </to>
                </anchor>
              </controlPr>
            </control>
          </mc:Choice>
        </mc:AlternateContent>
        <mc:AlternateContent xmlns:mc="http://schemas.openxmlformats.org/markup-compatibility/2006">
          <mc:Choice Requires="x14">
            <control shapeId="45829" r:id="rId206" name="BottomSide">
              <controlPr defaultSize="0" autoFill="0" autoLine="0" autoPict="0" altText="Sides">
                <anchor moveWithCells="1" sizeWithCells="1">
                  <from>
                    <xdr:col>20</xdr:col>
                    <xdr:colOff>161925</xdr:colOff>
                    <xdr:row>25</xdr:row>
                    <xdr:rowOff>47625</xdr:rowOff>
                  </from>
                  <to>
                    <xdr:col>20</xdr:col>
                    <xdr:colOff>295275</xdr:colOff>
                    <xdr:row>26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Z81"/>
  <sheetViews>
    <sheetView showGridLines="0" topLeftCell="CA1" zoomScale="75" zoomScaleNormal="100" workbookViewId="0">
      <selection sqref="A1:BZ1048576"/>
    </sheetView>
  </sheetViews>
  <sheetFormatPr defaultRowHeight="12" x14ac:dyDescent="0.2"/>
  <cols>
    <col min="1" max="1" width="8.88671875" style="287" hidden="1" customWidth="1"/>
    <col min="2" max="2" width="2.88671875" style="287" hidden="1" customWidth="1"/>
    <col min="3" max="3" width="5.21875" style="288" hidden="1" customWidth="1"/>
    <col min="4" max="4" width="22.5546875" style="287" hidden="1" customWidth="1"/>
    <col min="5" max="5" width="10.6640625" style="287" hidden="1" customWidth="1"/>
    <col min="6" max="6" width="18" style="287" hidden="1" customWidth="1"/>
    <col min="7" max="7" width="4.33203125" style="288" hidden="1" customWidth="1"/>
    <col min="8" max="8" width="14.88671875" style="287" hidden="1" customWidth="1"/>
    <col min="9" max="9" width="8.109375" style="287" hidden="1" customWidth="1"/>
    <col min="10" max="10" width="4.77734375" style="288" hidden="1" customWidth="1"/>
    <col min="11" max="11" width="6.21875" style="287" hidden="1" customWidth="1"/>
    <col min="12" max="12" width="7.109375" style="287" hidden="1" customWidth="1"/>
    <col min="13" max="13" width="4.77734375" style="288" hidden="1" customWidth="1"/>
    <col min="14" max="14" width="24.5546875" style="287" hidden="1" customWidth="1"/>
    <col min="15" max="15" width="12.109375" style="271" hidden="1" customWidth="1"/>
    <col min="16" max="16" width="12" style="287" hidden="1" customWidth="1"/>
    <col min="17" max="17" width="4.44140625" style="288" hidden="1" customWidth="1"/>
    <col min="18" max="18" width="10.109375" style="287" hidden="1" customWidth="1"/>
    <col min="19" max="19" width="7.21875" style="287" hidden="1" customWidth="1"/>
    <col min="20" max="20" width="13" style="287" hidden="1" customWidth="1"/>
    <col min="21" max="21" width="4" style="288" hidden="1" customWidth="1"/>
    <col min="22" max="23" width="10.33203125" style="287" hidden="1" customWidth="1"/>
    <col min="24" max="24" width="4.33203125" style="288" hidden="1" customWidth="1"/>
    <col min="25" max="25" width="20.6640625" style="287" hidden="1" customWidth="1"/>
    <col min="26" max="27" width="10" style="287" hidden="1" customWidth="1"/>
    <col min="28" max="28" width="17.6640625" style="287" hidden="1" customWidth="1"/>
    <col min="29" max="29" width="12.21875" style="287" hidden="1" customWidth="1"/>
    <col min="30" max="31" width="15.109375" style="287" hidden="1" customWidth="1"/>
    <col min="32" max="78" width="8.88671875" style="287" hidden="1" customWidth="1"/>
    <col min="79" max="16384" width="8.88671875" style="287"/>
  </cols>
  <sheetData>
    <row r="1" spans="2:34" ht="12.75" thickBot="1" x14ac:dyDescent="0.25">
      <c r="B1" s="286" t="s">
        <v>69</v>
      </c>
      <c r="D1" s="1538" t="s">
        <v>72</v>
      </c>
      <c r="E1" s="1538"/>
      <c r="F1" s="289"/>
      <c r="K1" s="1538" t="s">
        <v>70</v>
      </c>
      <c r="L1" s="1538"/>
      <c r="N1" s="1538" t="s">
        <v>71</v>
      </c>
      <c r="O1" s="1538"/>
      <c r="Y1" s="290" t="s">
        <v>76</v>
      </c>
      <c r="Z1" s="290"/>
      <c r="AA1" s="290"/>
      <c r="AB1" s="395"/>
      <c r="AC1" s="290" t="s">
        <v>77</v>
      </c>
      <c r="AD1" s="290"/>
    </row>
    <row r="2" spans="2:34" ht="36" x14ac:dyDescent="0.2">
      <c r="C2" s="292"/>
      <c r="D2" s="291" t="s">
        <v>1</v>
      </c>
      <c r="E2" s="291" t="s">
        <v>67</v>
      </c>
      <c r="F2" s="274" t="s">
        <v>168</v>
      </c>
      <c r="G2" s="292"/>
      <c r="H2" s="291" t="s">
        <v>2</v>
      </c>
      <c r="I2" s="291" t="s">
        <v>73</v>
      </c>
      <c r="J2" s="292"/>
      <c r="K2" s="291" t="s">
        <v>40</v>
      </c>
      <c r="L2" s="291" t="s">
        <v>66</v>
      </c>
      <c r="M2" s="292"/>
      <c r="N2" s="291" t="s">
        <v>3</v>
      </c>
      <c r="O2" s="273" t="s">
        <v>173</v>
      </c>
      <c r="P2" s="291" t="s">
        <v>55</v>
      </c>
      <c r="Q2" s="292"/>
      <c r="R2" s="291" t="s">
        <v>14</v>
      </c>
      <c r="S2" s="291" t="s">
        <v>25</v>
      </c>
      <c r="T2" s="291" t="s">
        <v>15</v>
      </c>
      <c r="U2" s="292"/>
      <c r="V2" s="291" t="s">
        <v>16</v>
      </c>
      <c r="W2" s="291" t="s">
        <v>68</v>
      </c>
      <c r="X2" s="292"/>
      <c r="Y2" s="291" t="s">
        <v>26</v>
      </c>
      <c r="Z2" s="273" t="s">
        <v>271</v>
      </c>
      <c r="AA2" s="273"/>
      <c r="AB2" s="395"/>
      <c r="AC2" s="273" t="s">
        <v>39</v>
      </c>
      <c r="AD2" s="273" t="s">
        <v>272</v>
      </c>
      <c r="AE2" s="293" t="s">
        <v>83</v>
      </c>
      <c r="AF2" s="294" t="s">
        <v>73</v>
      </c>
      <c r="AG2" s="275" t="s">
        <v>237</v>
      </c>
      <c r="AH2" s="275" t="s">
        <v>242</v>
      </c>
    </row>
    <row r="3" spans="2:34" x14ac:dyDescent="0.2">
      <c r="C3" s="292"/>
      <c r="D3" s="295"/>
      <c r="E3" s="295"/>
      <c r="F3" s="295"/>
      <c r="G3" s="292"/>
      <c r="H3" s="300" t="s">
        <v>74</v>
      </c>
      <c r="I3" s="373" t="s">
        <v>115</v>
      </c>
      <c r="J3" s="292"/>
      <c r="K3" s="295"/>
      <c r="L3" s="295"/>
      <c r="M3" s="292"/>
      <c r="N3" s="295"/>
      <c r="O3" s="274"/>
      <c r="P3" s="295"/>
      <c r="Q3" s="292"/>
      <c r="R3" s="295"/>
      <c r="S3" s="295"/>
      <c r="T3" s="295"/>
      <c r="U3" s="292"/>
      <c r="V3" s="295"/>
      <c r="W3" s="295"/>
      <c r="X3" s="292"/>
      <c r="Y3" s="295"/>
      <c r="Z3" s="285"/>
      <c r="AA3" s="285"/>
      <c r="AB3" s="395"/>
      <c r="AC3" s="295"/>
      <c r="AD3" s="357"/>
      <c r="AE3" s="296"/>
      <c r="AF3" s="297"/>
      <c r="AG3" s="275"/>
      <c r="AH3" s="275"/>
    </row>
    <row r="4" spans="2:34" ht="15" customHeight="1" x14ac:dyDescent="0.2">
      <c r="B4" s="287">
        <v>1</v>
      </c>
      <c r="C4" s="139"/>
      <c r="D4" s="7" t="s">
        <v>49</v>
      </c>
      <c r="E4" s="140">
        <v>0</v>
      </c>
      <c r="F4" s="141" t="s">
        <v>170</v>
      </c>
      <c r="G4" s="141"/>
      <c r="H4" s="142" t="s">
        <v>84</v>
      </c>
      <c r="I4" s="298">
        <v>129</v>
      </c>
      <c r="J4" s="143"/>
      <c r="K4" s="142" t="s">
        <v>64</v>
      </c>
      <c r="L4" s="144"/>
      <c r="M4" s="143"/>
      <c r="N4" s="7" t="s">
        <v>4</v>
      </c>
      <c r="O4" s="276">
        <v>0</v>
      </c>
      <c r="P4" s="140">
        <v>2</v>
      </c>
      <c r="Q4" s="141"/>
      <c r="R4" s="140" t="s">
        <v>17</v>
      </c>
      <c r="S4" s="140">
        <v>1</v>
      </c>
      <c r="T4" s="7" t="s">
        <v>195</v>
      </c>
      <c r="U4" s="141"/>
      <c r="V4" s="7" t="s">
        <v>38</v>
      </c>
      <c r="W4" s="298">
        <v>0</v>
      </c>
      <c r="X4" s="141"/>
      <c r="Y4" s="301" t="s">
        <v>223</v>
      </c>
      <c r="AA4" s="360">
        <v>6</v>
      </c>
      <c r="AB4" s="395"/>
      <c r="AC4" s="280" t="s">
        <v>207</v>
      </c>
      <c r="AD4" s="359">
        <v>0</v>
      </c>
      <c r="AE4" s="277" t="s">
        <v>131</v>
      </c>
      <c r="AF4" s="299">
        <v>0</v>
      </c>
      <c r="AG4" s="585" t="s">
        <v>457</v>
      </c>
      <c r="AH4" s="212">
        <v>3.75</v>
      </c>
    </row>
    <row r="5" spans="2:34" ht="15" customHeight="1" x14ac:dyDescent="0.2">
      <c r="B5" s="287">
        <f t="shared" ref="B5:B15" si="0">SUM(B4+1)</f>
        <v>2</v>
      </c>
      <c r="C5" s="139"/>
      <c r="D5" s="7" t="s">
        <v>832</v>
      </c>
      <c r="E5" s="140">
        <v>0</v>
      </c>
      <c r="F5" s="141" t="s">
        <v>171</v>
      </c>
      <c r="G5" s="141"/>
      <c r="H5" s="142" t="s">
        <v>87</v>
      </c>
      <c r="I5" s="298">
        <v>129</v>
      </c>
      <c r="J5" s="143"/>
      <c r="K5" s="142"/>
      <c r="L5" s="144"/>
      <c r="M5" s="143"/>
      <c r="N5" s="7" t="s">
        <v>6</v>
      </c>
      <c r="O5" s="276">
        <v>0</v>
      </c>
      <c r="P5" s="140">
        <v>1</v>
      </c>
      <c r="Q5" s="141"/>
      <c r="R5" s="140" t="s">
        <v>18</v>
      </c>
      <c r="S5" s="140">
        <v>1</v>
      </c>
      <c r="T5" s="7" t="s">
        <v>196</v>
      </c>
      <c r="U5" s="141"/>
      <c r="V5" s="7" t="s">
        <v>28</v>
      </c>
      <c r="W5" s="298">
        <v>0</v>
      </c>
      <c r="X5" s="141"/>
      <c r="Y5" s="301" t="s">
        <v>224</v>
      </c>
      <c r="AA5" s="361">
        <v>10</v>
      </c>
      <c r="AB5" s="395"/>
      <c r="AC5" s="280" t="s">
        <v>853</v>
      </c>
      <c r="AD5" s="359">
        <v>9</v>
      </c>
      <c r="AG5" s="585" t="s">
        <v>458</v>
      </c>
      <c r="AH5" s="212">
        <v>3.75</v>
      </c>
    </row>
    <row r="6" spans="2:34" ht="15" customHeight="1" x14ac:dyDescent="0.2">
      <c r="B6" s="287">
        <f t="shared" si="0"/>
        <v>3</v>
      </c>
      <c r="C6" s="139"/>
      <c r="D6" s="638" t="s">
        <v>716</v>
      </c>
      <c r="E6" s="639">
        <v>0</v>
      </c>
      <c r="F6" s="550" t="s">
        <v>171</v>
      </c>
      <c r="G6" s="141"/>
      <c r="H6" s="142" t="s">
        <v>89</v>
      </c>
      <c r="I6" s="298">
        <v>129</v>
      </c>
      <c r="J6" s="143"/>
      <c r="K6" s="142"/>
      <c r="L6" s="142"/>
      <c r="M6" s="143"/>
      <c r="N6" s="7" t="s">
        <v>5</v>
      </c>
      <c r="O6" s="276">
        <v>0</v>
      </c>
      <c r="P6" s="140">
        <v>1</v>
      </c>
      <c r="Q6" s="141"/>
      <c r="R6" s="140" t="s">
        <v>19</v>
      </c>
      <c r="S6" s="140">
        <v>2</v>
      </c>
      <c r="T6" s="7" t="s">
        <v>199</v>
      </c>
      <c r="U6" s="141"/>
      <c r="V6" s="7" t="s">
        <v>88</v>
      </c>
      <c r="W6" s="298">
        <v>0</v>
      </c>
      <c r="X6" s="141"/>
      <c r="Y6" s="200" t="s">
        <v>220</v>
      </c>
      <c r="AA6" s="361">
        <v>11.5</v>
      </c>
      <c r="AB6" s="395"/>
      <c r="AC6" s="280" t="s">
        <v>852</v>
      </c>
      <c r="AD6" s="359">
        <v>6</v>
      </c>
      <c r="AG6" s="585" t="s">
        <v>459</v>
      </c>
      <c r="AH6" s="212">
        <v>3.75</v>
      </c>
    </row>
    <row r="7" spans="2:34" ht="15" customHeight="1" x14ac:dyDescent="0.2">
      <c r="B7" s="287">
        <f>SUM(B6+1)</f>
        <v>4</v>
      </c>
      <c r="C7" s="139"/>
      <c r="D7" s="638" t="s">
        <v>50</v>
      </c>
      <c r="E7" s="639">
        <v>0</v>
      </c>
      <c r="F7" s="550" t="str">
        <f ca="1">IF(TODAY()&gt;40633,"All","Full")</f>
        <v>All</v>
      </c>
      <c r="G7" s="141"/>
      <c r="H7" s="142" t="s">
        <v>90</v>
      </c>
      <c r="I7" s="298">
        <v>129</v>
      </c>
      <c r="J7" s="143"/>
      <c r="K7" s="142"/>
      <c r="L7" s="142"/>
      <c r="M7" s="143"/>
      <c r="N7" s="7" t="s">
        <v>175</v>
      </c>
      <c r="O7" s="298">
        <v>39</v>
      </c>
      <c r="P7" s="7">
        <v>1</v>
      </c>
      <c r="Q7" s="141"/>
      <c r="R7" s="140" t="s">
        <v>20</v>
      </c>
      <c r="S7" s="140">
        <v>2</v>
      </c>
      <c r="T7" s="7" t="s">
        <v>197</v>
      </c>
      <c r="U7" s="141"/>
      <c r="V7" s="140" t="s">
        <v>37</v>
      </c>
      <c r="W7" s="298">
        <v>0</v>
      </c>
      <c r="X7" s="141"/>
      <c r="Y7" s="200" t="s">
        <v>482</v>
      </c>
      <c r="AA7" s="361">
        <v>8</v>
      </c>
      <c r="AB7" s="395"/>
      <c r="AC7" s="280" t="s">
        <v>231</v>
      </c>
      <c r="AD7" s="359">
        <v>24</v>
      </c>
      <c r="AG7" s="585" t="s">
        <v>460</v>
      </c>
      <c r="AH7" s="212">
        <v>3.75</v>
      </c>
    </row>
    <row r="8" spans="2:34" ht="15" customHeight="1" x14ac:dyDescent="0.2">
      <c r="B8" s="287">
        <f t="shared" si="0"/>
        <v>5</v>
      </c>
      <c r="C8" s="139"/>
      <c r="D8" s="638" t="s">
        <v>75</v>
      </c>
      <c r="E8" s="639">
        <v>0</v>
      </c>
      <c r="F8" s="550" t="s">
        <v>171</v>
      </c>
      <c r="G8" s="141"/>
      <c r="H8" s="142" t="s">
        <v>93</v>
      </c>
      <c r="I8" s="298">
        <v>129</v>
      </c>
      <c r="J8" s="143"/>
      <c r="K8" s="142"/>
      <c r="L8" s="142"/>
      <c r="M8" s="143"/>
      <c r="N8" s="7" t="s">
        <v>176</v>
      </c>
      <c r="O8" s="298">
        <v>39</v>
      </c>
      <c r="P8" s="7">
        <v>1</v>
      </c>
      <c r="Q8" s="141"/>
      <c r="R8" s="140" t="s">
        <v>21</v>
      </c>
      <c r="S8" s="140">
        <v>2</v>
      </c>
      <c r="T8" s="7" t="s">
        <v>198</v>
      </c>
      <c r="U8" s="141"/>
      <c r="V8" s="140" t="s">
        <v>57</v>
      </c>
      <c r="W8" s="298">
        <v>0</v>
      </c>
      <c r="X8" s="141"/>
      <c r="Y8" s="301" t="s">
        <v>225</v>
      </c>
      <c r="AA8" s="361">
        <v>6</v>
      </c>
      <c r="AB8" s="395"/>
      <c r="AC8" s="280" t="s">
        <v>232</v>
      </c>
      <c r="AD8" s="359">
        <v>12.5</v>
      </c>
      <c r="AG8" s="585" t="s">
        <v>461</v>
      </c>
      <c r="AH8" s="212">
        <v>3.75</v>
      </c>
    </row>
    <row r="9" spans="2:34" ht="15" customHeight="1" x14ac:dyDescent="0.2">
      <c r="B9" s="287">
        <f t="shared" si="0"/>
        <v>6</v>
      </c>
      <c r="C9" s="139"/>
      <c r="D9" s="7" t="s">
        <v>316</v>
      </c>
      <c r="E9" s="140">
        <v>19</v>
      </c>
      <c r="F9" s="141" t="s">
        <v>169</v>
      </c>
      <c r="G9" s="141"/>
      <c r="H9" s="200" t="s">
        <v>488</v>
      </c>
      <c r="I9" s="7">
        <v>0</v>
      </c>
      <c r="J9" s="143"/>
      <c r="K9" s="142"/>
      <c r="L9" s="142"/>
      <c r="M9" s="143"/>
      <c r="N9" s="7" t="s">
        <v>177</v>
      </c>
      <c r="O9" s="298">
        <v>39</v>
      </c>
      <c r="P9" s="7">
        <v>1</v>
      </c>
      <c r="Q9" s="141"/>
      <c r="R9" s="140" t="s">
        <v>22</v>
      </c>
      <c r="S9" s="140">
        <v>3</v>
      </c>
      <c r="T9" s="7" t="s">
        <v>200</v>
      </c>
      <c r="U9" s="141"/>
      <c r="V9" s="140" t="s">
        <v>47</v>
      </c>
      <c r="W9" s="298">
        <v>0</v>
      </c>
      <c r="X9" s="141"/>
      <c r="Y9" s="301" t="s">
        <v>226</v>
      </c>
      <c r="AA9" s="361">
        <v>10</v>
      </c>
      <c r="AB9" s="395"/>
      <c r="AC9" s="280" t="s">
        <v>233</v>
      </c>
      <c r="AD9" s="359">
        <v>21</v>
      </c>
      <c r="AG9" s="283" t="s">
        <v>469</v>
      </c>
      <c r="AH9" s="212">
        <v>3.75</v>
      </c>
    </row>
    <row r="10" spans="2:34" ht="15" customHeight="1" x14ac:dyDescent="0.2">
      <c r="B10" s="287">
        <f t="shared" si="0"/>
        <v>7</v>
      </c>
      <c r="C10" s="139"/>
      <c r="D10" s="7" t="s">
        <v>317</v>
      </c>
      <c r="E10" s="140">
        <v>19</v>
      </c>
      <c r="F10" s="141" t="s">
        <v>169</v>
      </c>
      <c r="G10" s="141"/>
      <c r="H10" s="200" t="s">
        <v>490</v>
      </c>
      <c r="I10" s="7">
        <v>0</v>
      </c>
      <c r="J10" s="143"/>
      <c r="K10" s="142"/>
      <c r="L10" s="142"/>
      <c r="M10" s="143"/>
      <c r="N10" s="7" t="s">
        <v>183</v>
      </c>
      <c r="O10" s="372">
        <v>46</v>
      </c>
      <c r="P10" s="7">
        <v>1</v>
      </c>
      <c r="Q10" s="141"/>
      <c r="R10" s="140" t="s">
        <v>23</v>
      </c>
      <c r="S10" s="140">
        <v>3</v>
      </c>
      <c r="T10" s="638" t="s">
        <v>492</v>
      </c>
      <c r="U10" s="141"/>
      <c r="V10" s="140" t="s">
        <v>334</v>
      </c>
      <c r="W10" s="298">
        <v>0</v>
      </c>
      <c r="X10" s="141"/>
      <c r="Y10" s="200" t="s">
        <v>227</v>
      </c>
      <c r="AA10" s="361">
        <v>11.5</v>
      </c>
      <c r="AB10" s="395"/>
      <c r="AC10" s="280" t="s">
        <v>330</v>
      </c>
      <c r="AD10" s="359">
        <v>21</v>
      </c>
      <c r="AG10" s="283" t="s">
        <v>470</v>
      </c>
      <c r="AH10" s="212">
        <v>3.75</v>
      </c>
    </row>
    <row r="11" spans="2:34" ht="15" customHeight="1" x14ac:dyDescent="0.2">
      <c r="B11" s="287">
        <f t="shared" si="0"/>
        <v>8</v>
      </c>
      <c r="C11" s="139"/>
      <c r="D11" s="7" t="s">
        <v>835</v>
      </c>
      <c r="E11" s="140">
        <v>19</v>
      </c>
      <c r="F11" s="141" t="s">
        <v>169</v>
      </c>
      <c r="G11" s="141"/>
      <c r="H11" s="140"/>
      <c r="I11" s="140"/>
      <c r="J11" s="143"/>
      <c r="K11" s="142"/>
      <c r="L11" s="142"/>
      <c r="M11" s="143"/>
      <c r="N11" s="7" t="s">
        <v>182</v>
      </c>
      <c r="O11" s="372">
        <v>46</v>
      </c>
      <c r="P11" s="7">
        <v>1</v>
      </c>
      <c r="Q11" s="141"/>
      <c r="R11" s="140" t="s">
        <v>24</v>
      </c>
      <c r="S11" s="140">
        <v>4</v>
      </c>
      <c r="T11" s="638" t="s">
        <v>493</v>
      </c>
      <c r="U11" s="141"/>
      <c r="V11" s="140" t="s">
        <v>333</v>
      </c>
      <c r="W11" s="298">
        <v>5.5</v>
      </c>
      <c r="X11" s="141"/>
      <c r="Y11" s="200" t="s">
        <v>273</v>
      </c>
      <c r="Z11" s="200"/>
      <c r="AA11" s="361">
        <v>7.5</v>
      </c>
      <c r="AB11" s="395"/>
      <c r="AC11" s="280" t="s">
        <v>234</v>
      </c>
      <c r="AD11" s="359">
        <v>12.5</v>
      </c>
      <c r="AG11" s="585" t="s">
        <v>462</v>
      </c>
      <c r="AH11" s="212">
        <v>3.75</v>
      </c>
    </row>
    <row r="12" spans="2:34" ht="15" customHeight="1" x14ac:dyDescent="0.2">
      <c r="B12" s="287">
        <f t="shared" si="0"/>
        <v>9</v>
      </c>
      <c r="C12" s="139"/>
      <c r="D12" s="7" t="s">
        <v>836</v>
      </c>
      <c r="E12" s="140">
        <v>19</v>
      </c>
      <c r="F12" s="141" t="s">
        <v>169</v>
      </c>
      <c r="G12" s="141"/>
      <c r="J12" s="143"/>
      <c r="K12" s="142"/>
      <c r="L12" s="142"/>
      <c r="M12" s="143"/>
      <c r="N12" s="7" t="s">
        <v>184</v>
      </c>
      <c r="O12" s="372">
        <v>46</v>
      </c>
      <c r="P12" s="7">
        <v>1</v>
      </c>
      <c r="Q12" s="141"/>
      <c r="R12" s="140"/>
      <c r="S12" s="140"/>
      <c r="T12" s="654" t="s">
        <v>494</v>
      </c>
      <c r="U12" s="141"/>
      <c r="V12" s="551" t="s">
        <v>58</v>
      </c>
      <c r="W12" s="553">
        <v>11</v>
      </c>
      <c r="X12" s="141"/>
      <c r="Y12" s="200" t="s">
        <v>828</v>
      </c>
      <c r="Z12" s="356"/>
      <c r="AA12" s="361">
        <v>11.5</v>
      </c>
      <c r="AB12" s="395"/>
      <c r="AC12" s="280" t="s">
        <v>436</v>
      </c>
      <c r="AD12" s="359">
        <v>12.5</v>
      </c>
      <c r="AG12" s="585" t="s">
        <v>463</v>
      </c>
      <c r="AH12" s="212">
        <v>3.75</v>
      </c>
    </row>
    <row r="13" spans="2:34" ht="15" customHeight="1" x14ac:dyDescent="0.2">
      <c r="B13" s="287">
        <f t="shared" si="0"/>
        <v>10</v>
      </c>
      <c r="C13" s="139"/>
      <c r="D13" s="7" t="s">
        <v>720</v>
      </c>
      <c r="E13" s="140">
        <v>19</v>
      </c>
      <c r="F13" s="141" t="s">
        <v>169</v>
      </c>
      <c r="G13" s="141"/>
      <c r="J13" s="143"/>
      <c r="K13" s="142"/>
      <c r="L13" s="142"/>
      <c r="M13" s="143"/>
      <c r="N13" s="7" t="s">
        <v>185</v>
      </c>
      <c r="O13" s="372">
        <v>55</v>
      </c>
      <c r="P13" s="7">
        <v>1</v>
      </c>
      <c r="Q13" s="141"/>
      <c r="R13" s="140"/>
      <c r="S13" s="140"/>
      <c r="T13" s="140"/>
      <c r="U13" s="141"/>
      <c r="V13" s="140"/>
      <c r="W13" s="140"/>
      <c r="X13" s="141"/>
      <c r="Y13" s="200" t="s">
        <v>212</v>
      </c>
      <c r="AA13" s="361">
        <v>8</v>
      </c>
      <c r="AB13" s="395"/>
      <c r="AC13" s="280" t="s">
        <v>498</v>
      </c>
      <c r="AD13" s="359">
        <v>21.5</v>
      </c>
      <c r="AG13" s="585" t="s">
        <v>241</v>
      </c>
      <c r="AH13" s="212">
        <v>3.75</v>
      </c>
    </row>
    <row r="14" spans="2:34" ht="15" customHeight="1" x14ac:dyDescent="0.2">
      <c r="B14" s="287">
        <f t="shared" si="0"/>
        <v>11</v>
      </c>
      <c r="C14" s="139"/>
      <c r="D14" s="7" t="s">
        <v>721</v>
      </c>
      <c r="E14" s="140">
        <v>19</v>
      </c>
      <c r="F14" s="141" t="s">
        <v>169</v>
      </c>
      <c r="G14" s="141"/>
      <c r="J14" s="143"/>
      <c r="K14" s="142"/>
      <c r="L14" s="142"/>
      <c r="M14" s="143"/>
      <c r="N14" s="7" t="s">
        <v>186</v>
      </c>
      <c r="O14" s="372">
        <v>55</v>
      </c>
      <c r="P14" s="7">
        <v>1</v>
      </c>
      <c r="Q14" s="141"/>
      <c r="R14" s="140"/>
      <c r="S14" s="140"/>
      <c r="T14" s="140"/>
      <c r="U14" s="141"/>
      <c r="V14" s="140"/>
      <c r="W14" s="140"/>
      <c r="X14" s="141"/>
      <c r="Y14" s="200" t="s">
        <v>221</v>
      </c>
      <c r="AA14" s="361">
        <v>11.5</v>
      </c>
      <c r="AB14" s="395"/>
      <c r="AC14" s="280" t="s">
        <v>847</v>
      </c>
      <c r="AD14" s="359">
        <v>21.5</v>
      </c>
      <c r="AG14" s="585" t="s">
        <v>240</v>
      </c>
      <c r="AH14" s="212">
        <v>7</v>
      </c>
    </row>
    <row r="15" spans="2:34" ht="15" customHeight="1" thickBot="1" x14ac:dyDescent="0.25">
      <c r="B15" s="287">
        <f t="shared" si="0"/>
        <v>12</v>
      </c>
      <c r="C15" s="139"/>
      <c r="D15" s="7" t="s">
        <v>318</v>
      </c>
      <c r="E15" s="140">
        <v>19</v>
      </c>
      <c r="F15" s="141" t="s">
        <v>169</v>
      </c>
      <c r="G15" s="141"/>
      <c r="J15" s="143"/>
      <c r="K15" s="142"/>
      <c r="L15" s="142"/>
      <c r="M15" s="143"/>
      <c r="N15" s="7" t="s">
        <v>187</v>
      </c>
      <c r="O15" s="372">
        <v>55</v>
      </c>
      <c r="P15" s="7">
        <v>1</v>
      </c>
      <c r="Q15" s="141"/>
      <c r="R15" s="140"/>
      <c r="S15" s="140"/>
      <c r="T15" s="140"/>
      <c r="U15" s="141"/>
      <c r="V15" s="140"/>
      <c r="W15" s="140"/>
      <c r="X15" s="141"/>
      <c r="Y15" s="200" t="s">
        <v>830</v>
      </c>
      <c r="AA15" s="361">
        <v>12.5</v>
      </c>
      <c r="AB15" s="395"/>
      <c r="AC15" s="358"/>
      <c r="AG15" s="585" t="s">
        <v>464</v>
      </c>
      <c r="AH15" s="212">
        <v>7</v>
      </c>
    </row>
    <row r="16" spans="2:34" ht="15" customHeight="1" x14ac:dyDescent="0.2">
      <c r="C16" s="139"/>
      <c r="D16" s="7" t="s">
        <v>319</v>
      </c>
      <c r="E16" s="140">
        <v>19</v>
      </c>
      <c r="F16" s="141" t="s">
        <v>169</v>
      </c>
      <c r="G16" s="141"/>
      <c r="H16" s="142"/>
      <c r="J16" s="143"/>
      <c r="K16" s="142"/>
      <c r="L16" s="142"/>
      <c r="M16" s="143"/>
      <c r="N16" s="7" t="s">
        <v>342</v>
      </c>
      <c r="O16" s="276">
        <v>39</v>
      </c>
      <c r="P16" s="7">
        <v>1</v>
      </c>
      <c r="Q16" s="141"/>
      <c r="R16" s="140"/>
      <c r="S16" s="140"/>
      <c r="T16" s="436" t="s">
        <v>604</v>
      </c>
      <c r="U16" s="141"/>
      <c r="V16" s="140"/>
      <c r="W16" s="140"/>
      <c r="X16" s="141"/>
      <c r="Y16" s="200" t="s">
        <v>230</v>
      </c>
      <c r="AA16" s="361">
        <v>4</v>
      </c>
      <c r="AB16" s="140"/>
      <c r="AC16" s="358"/>
      <c r="AG16" s="585" t="s">
        <v>465</v>
      </c>
      <c r="AH16" s="212">
        <v>7</v>
      </c>
    </row>
    <row r="17" spans="3:34" ht="15" customHeight="1" thickBot="1" x14ac:dyDescent="0.25">
      <c r="C17" s="139"/>
      <c r="D17" s="7" t="s">
        <v>320</v>
      </c>
      <c r="E17" s="140">
        <v>19</v>
      </c>
      <c r="F17" s="141" t="s">
        <v>169</v>
      </c>
      <c r="G17" s="141"/>
      <c r="H17" s="142"/>
      <c r="J17" s="143"/>
      <c r="K17" s="142"/>
      <c r="L17" s="142"/>
      <c r="M17" s="143"/>
      <c r="N17" s="7" t="s">
        <v>343</v>
      </c>
      <c r="O17" s="276">
        <v>39</v>
      </c>
      <c r="P17" s="7">
        <v>1</v>
      </c>
      <c r="Q17" s="141"/>
      <c r="R17" s="140"/>
      <c r="S17" s="140"/>
      <c r="T17" s="206" t="s">
        <v>195</v>
      </c>
      <c r="U17" s="141"/>
      <c r="V17" s="140"/>
      <c r="W17" s="140"/>
      <c r="X17" s="141"/>
      <c r="Y17" s="301" t="s">
        <v>228</v>
      </c>
      <c r="AA17" s="361">
        <v>6</v>
      </c>
      <c r="AB17" s="140"/>
      <c r="AC17" s="395"/>
      <c r="AG17" s="212" t="s">
        <v>239</v>
      </c>
      <c r="AH17" s="212">
        <v>7475</v>
      </c>
    </row>
    <row r="18" spans="3:34" ht="15" customHeight="1" x14ac:dyDescent="0.2">
      <c r="C18" s="139"/>
      <c r="D18" s="7" t="s">
        <v>321</v>
      </c>
      <c r="E18" s="140">
        <v>19</v>
      </c>
      <c r="F18" s="141" t="s">
        <v>169</v>
      </c>
      <c r="G18" s="141"/>
      <c r="H18" s="142"/>
      <c r="J18" s="143"/>
      <c r="K18" s="142"/>
      <c r="L18" s="142"/>
      <c r="M18" s="143"/>
      <c r="N18" s="7" t="s">
        <v>344</v>
      </c>
      <c r="O18" s="276">
        <v>39</v>
      </c>
      <c r="P18" s="7">
        <v>1</v>
      </c>
      <c r="Q18" s="141"/>
      <c r="R18" s="273" t="s">
        <v>345</v>
      </c>
      <c r="S18" s="273"/>
      <c r="T18" s="207" t="s">
        <v>196</v>
      </c>
      <c r="U18" s="141"/>
      <c r="V18" s="140"/>
      <c r="W18" s="140"/>
      <c r="X18" s="141"/>
      <c r="Y18" s="301" t="s">
        <v>229</v>
      </c>
      <c r="AA18" s="361">
        <v>10</v>
      </c>
      <c r="AB18" s="140"/>
      <c r="AC18" s="395"/>
      <c r="AG18" s="212" t="s">
        <v>467</v>
      </c>
      <c r="AH18" s="212">
        <v>4</v>
      </c>
    </row>
    <row r="19" spans="3:34" ht="15" customHeight="1" x14ac:dyDescent="0.2">
      <c r="C19" s="139"/>
      <c r="D19" s="7" t="s">
        <v>312</v>
      </c>
      <c r="E19" s="140">
        <v>19</v>
      </c>
      <c r="F19" s="141" t="s">
        <v>169</v>
      </c>
      <c r="G19" s="141"/>
      <c r="H19" s="142"/>
      <c r="J19" s="143"/>
      <c r="K19" s="142"/>
      <c r="L19" s="142"/>
      <c r="M19" s="143"/>
      <c r="N19" s="7" t="s">
        <v>619</v>
      </c>
      <c r="O19" s="7" t="s">
        <v>115</v>
      </c>
      <c r="P19" s="140"/>
      <c r="Q19" s="141"/>
      <c r="R19" s="7" t="s">
        <v>346</v>
      </c>
      <c r="S19" s="7">
        <v>4</v>
      </c>
      <c r="T19" s="207" t="s">
        <v>197</v>
      </c>
      <c r="U19" s="141"/>
      <c r="V19" s="140"/>
      <c r="W19" s="140"/>
      <c r="X19" s="141"/>
      <c r="Y19" s="200" t="s">
        <v>211</v>
      </c>
      <c r="AA19" s="361">
        <v>11.5</v>
      </c>
      <c r="AB19" s="140"/>
      <c r="AC19" s="395"/>
      <c r="AG19" s="212" t="s">
        <v>483</v>
      </c>
      <c r="AH19" s="212">
        <v>7</v>
      </c>
    </row>
    <row r="20" spans="3:34" ht="15" customHeight="1" x14ac:dyDescent="0.2">
      <c r="C20" s="139"/>
      <c r="D20" s="7" t="s">
        <v>313</v>
      </c>
      <c r="E20" s="140">
        <v>19</v>
      </c>
      <c r="F20" s="141" t="s">
        <v>169</v>
      </c>
      <c r="G20" s="141"/>
      <c r="H20" s="142"/>
      <c r="J20" s="143"/>
      <c r="K20" s="142"/>
      <c r="L20" s="142"/>
      <c r="M20" s="143"/>
      <c r="N20" s="7" t="s">
        <v>620</v>
      </c>
      <c r="O20" s="7" t="s">
        <v>115</v>
      </c>
      <c r="P20" s="140"/>
      <c r="Q20" s="141"/>
      <c r="R20" s="7" t="s">
        <v>425</v>
      </c>
      <c r="S20" s="7">
        <v>2</v>
      </c>
      <c r="T20" s="207" t="s">
        <v>198</v>
      </c>
      <c r="U20" s="141"/>
      <c r="V20" s="140"/>
      <c r="W20" s="140"/>
      <c r="X20" s="484"/>
      <c r="Y20" s="200" t="s">
        <v>831</v>
      </c>
      <c r="AA20" s="361">
        <v>11.5</v>
      </c>
      <c r="AB20" s="140"/>
      <c r="AC20" s="395"/>
      <c r="AG20" s="212" t="s">
        <v>437</v>
      </c>
      <c r="AH20" s="212">
        <v>3.75</v>
      </c>
    </row>
    <row r="21" spans="3:34" ht="15" customHeight="1" x14ac:dyDescent="0.2">
      <c r="C21" s="139"/>
      <c r="D21" s="7" t="s">
        <v>844</v>
      </c>
      <c r="E21" s="140">
        <v>19</v>
      </c>
      <c r="F21" s="141" t="s">
        <v>169</v>
      </c>
      <c r="G21" s="141"/>
      <c r="J21" s="143"/>
      <c r="K21" s="140"/>
      <c r="L21" s="140"/>
      <c r="M21" s="143"/>
      <c r="N21" s="7" t="s">
        <v>621</v>
      </c>
      <c r="O21" s="7" t="s">
        <v>115</v>
      </c>
      <c r="P21" s="140"/>
      <c r="Q21" s="141"/>
      <c r="R21" s="7" t="s">
        <v>347</v>
      </c>
      <c r="S21" s="7">
        <v>6</v>
      </c>
      <c r="T21" s="207" t="s">
        <v>492</v>
      </c>
      <c r="U21" s="141"/>
      <c r="V21" s="140"/>
      <c r="W21" s="140"/>
      <c r="X21" s="484"/>
      <c r="Y21" s="200" t="s">
        <v>829</v>
      </c>
      <c r="AA21" s="361">
        <v>12.5</v>
      </c>
      <c r="AB21" s="140"/>
      <c r="AC21" s="395"/>
      <c r="AG21" s="212" t="s">
        <v>244</v>
      </c>
      <c r="AH21" s="212">
        <v>7475</v>
      </c>
    </row>
    <row r="22" spans="3:34" ht="15" customHeight="1" x14ac:dyDescent="0.2">
      <c r="C22" s="139"/>
      <c r="D22" s="7" t="s">
        <v>834</v>
      </c>
      <c r="E22" s="140">
        <v>19</v>
      </c>
      <c r="F22" s="141" t="s">
        <v>169</v>
      </c>
      <c r="G22" s="141"/>
      <c r="J22" s="143"/>
      <c r="K22" s="140"/>
      <c r="L22" s="140"/>
      <c r="M22" s="141"/>
      <c r="N22" s="7" t="s">
        <v>622</v>
      </c>
      <c r="O22" s="7" t="s">
        <v>115</v>
      </c>
      <c r="P22" s="140"/>
      <c r="Q22" s="141"/>
      <c r="R22" s="7" t="s">
        <v>348</v>
      </c>
      <c r="S22" s="7">
        <v>6</v>
      </c>
      <c r="T22" s="207" t="s">
        <v>493</v>
      </c>
      <c r="U22" s="141"/>
      <c r="V22" s="140"/>
      <c r="W22" s="140"/>
      <c r="X22" s="484"/>
      <c r="Y22" s="481" t="s">
        <v>222</v>
      </c>
      <c r="AA22" s="483">
        <v>8</v>
      </c>
      <c r="AB22" s="485"/>
      <c r="AC22" s="395"/>
    </row>
    <row r="23" spans="3:34" ht="15" customHeight="1" thickBot="1" x14ac:dyDescent="0.25">
      <c r="C23" s="139"/>
      <c r="D23" s="7" t="s">
        <v>718</v>
      </c>
      <c r="E23" s="140">
        <v>19</v>
      </c>
      <c r="F23" s="141" t="s">
        <v>169</v>
      </c>
      <c r="G23" s="141"/>
      <c r="J23" s="143"/>
      <c r="K23" s="140"/>
      <c r="L23" s="140"/>
      <c r="M23" s="141"/>
      <c r="N23" s="7" t="s">
        <v>623</v>
      </c>
      <c r="O23" s="7" t="s">
        <v>115</v>
      </c>
      <c r="P23" s="140"/>
      <c r="Q23" s="141"/>
      <c r="R23" s="7" t="s">
        <v>349</v>
      </c>
      <c r="S23" s="7">
        <v>8</v>
      </c>
      <c r="T23" s="140"/>
      <c r="U23" s="141"/>
      <c r="V23" s="140"/>
      <c r="W23" s="140"/>
      <c r="X23" s="484"/>
      <c r="Y23" s="474" t="s">
        <v>354</v>
      </c>
      <c r="Z23" s="475"/>
      <c r="AA23" s="476">
        <v>10</v>
      </c>
      <c r="AB23" s="486">
        <v>70</v>
      </c>
      <c r="AC23" s="358"/>
    </row>
    <row r="24" spans="3:34" ht="15" customHeight="1" x14ac:dyDescent="0.2">
      <c r="C24" s="139"/>
      <c r="D24" s="7" t="s">
        <v>719</v>
      </c>
      <c r="E24" s="140">
        <v>19</v>
      </c>
      <c r="F24" s="141" t="s">
        <v>169</v>
      </c>
      <c r="G24" s="141"/>
      <c r="J24" s="143"/>
      <c r="K24" s="140"/>
      <c r="L24" s="140"/>
      <c r="M24" s="141"/>
      <c r="N24" s="7" t="s">
        <v>624</v>
      </c>
      <c r="O24" s="7" t="s">
        <v>115</v>
      </c>
      <c r="P24" s="140"/>
      <c r="Q24" s="141"/>
      <c r="R24" s="7" t="s">
        <v>350</v>
      </c>
      <c r="S24" s="7">
        <v>8</v>
      </c>
      <c r="T24" s="542" t="s">
        <v>308</v>
      </c>
      <c r="U24" s="141"/>
      <c r="V24" s="140"/>
      <c r="W24" s="140"/>
      <c r="X24" s="484"/>
      <c r="Y24" s="474" t="s">
        <v>355</v>
      </c>
      <c r="Z24" s="475"/>
      <c r="AA24" s="476">
        <v>10</v>
      </c>
      <c r="AB24" s="486">
        <v>70</v>
      </c>
      <c r="AC24" s="358"/>
    </row>
    <row r="25" spans="3:34" ht="15" customHeight="1" thickBot="1" x14ac:dyDescent="0.25">
      <c r="C25" s="139"/>
      <c r="D25" s="7" t="s">
        <v>322</v>
      </c>
      <c r="E25" s="140">
        <v>19</v>
      </c>
      <c r="F25" s="141" t="s">
        <v>169</v>
      </c>
      <c r="G25" s="141"/>
      <c r="J25" s="143"/>
      <c r="K25" s="140"/>
      <c r="L25" s="140"/>
      <c r="M25" s="141"/>
      <c r="N25" s="7" t="s">
        <v>648</v>
      </c>
      <c r="O25" s="7" t="s">
        <v>115</v>
      </c>
      <c r="P25" s="140"/>
      <c r="Q25" s="141"/>
      <c r="R25" s="140"/>
      <c r="S25" s="140"/>
      <c r="T25" s="550" t="s">
        <v>492</v>
      </c>
      <c r="U25" s="141"/>
      <c r="V25" s="140"/>
      <c r="W25" s="140"/>
      <c r="X25" s="484"/>
      <c r="Y25" s="477" t="s">
        <v>356</v>
      </c>
      <c r="Z25" s="369"/>
      <c r="AA25" s="276">
        <v>10</v>
      </c>
      <c r="AB25" s="487">
        <v>70</v>
      </c>
      <c r="AC25" s="358"/>
    </row>
    <row r="26" spans="3:34" ht="15" customHeight="1" x14ac:dyDescent="0.2">
      <c r="C26" s="139"/>
      <c r="D26" s="7" t="s">
        <v>323</v>
      </c>
      <c r="E26" s="140">
        <v>19</v>
      </c>
      <c r="F26" s="141" t="s">
        <v>169</v>
      </c>
      <c r="G26" s="141"/>
      <c r="J26" s="143"/>
      <c r="K26" s="140"/>
      <c r="L26" s="140"/>
      <c r="M26" s="141"/>
      <c r="N26" s="7" t="s">
        <v>626</v>
      </c>
      <c r="O26" s="7" t="s">
        <v>115</v>
      </c>
      <c r="P26" s="140"/>
      <c r="Q26" s="141"/>
      <c r="R26" s="625" t="s">
        <v>535</v>
      </c>
      <c r="S26" s="625"/>
      <c r="T26" s="550" t="s">
        <v>493</v>
      </c>
      <c r="U26" s="141"/>
      <c r="V26" s="140"/>
      <c r="W26" s="140"/>
      <c r="X26" s="484"/>
      <c r="Y26" s="477" t="s">
        <v>357</v>
      </c>
      <c r="Z26" s="369"/>
      <c r="AA26" s="276">
        <v>10</v>
      </c>
      <c r="AB26" s="487">
        <v>70</v>
      </c>
      <c r="AC26" s="358"/>
    </row>
    <row r="27" spans="3:34" ht="15" customHeight="1" x14ac:dyDescent="0.2">
      <c r="C27" s="139"/>
      <c r="D27" s="7" t="s">
        <v>314</v>
      </c>
      <c r="E27" s="140">
        <v>19</v>
      </c>
      <c r="F27" s="141" t="s">
        <v>169</v>
      </c>
      <c r="G27" s="141"/>
      <c r="J27" s="143"/>
      <c r="K27" s="140"/>
      <c r="L27" s="140"/>
      <c r="M27" s="141"/>
      <c r="N27" s="7" t="s">
        <v>627</v>
      </c>
      <c r="O27" s="7" t="s">
        <v>115</v>
      </c>
      <c r="P27" s="140"/>
      <c r="Q27" s="141"/>
      <c r="R27" s="638" t="s">
        <v>538</v>
      </c>
      <c r="S27" s="638">
        <v>2</v>
      </c>
      <c r="T27" s="550"/>
      <c r="U27" s="141"/>
      <c r="V27" s="140"/>
      <c r="W27" s="140"/>
      <c r="X27" s="484"/>
      <c r="Y27" s="477" t="s">
        <v>358</v>
      </c>
      <c r="Z27" s="369"/>
      <c r="AA27" s="276">
        <v>10</v>
      </c>
      <c r="AB27" s="487">
        <v>70</v>
      </c>
      <c r="AC27" s="358"/>
    </row>
    <row r="28" spans="3:34" ht="15" customHeight="1" thickBot="1" x14ac:dyDescent="0.25">
      <c r="C28" s="139"/>
      <c r="D28" s="7" t="s">
        <v>315</v>
      </c>
      <c r="E28" s="140">
        <v>19</v>
      </c>
      <c r="F28" s="141" t="s">
        <v>169</v>
      </c>
      <c r="G28" s="141"/>
      <c r="J28" s="143"/>
      <c r="K28" s="140"/>
      <c r="L28" s="140"/>
      <c r="M28" s="141"/>
      <c r="N28" s="7" t="s">
        <v>628</v>
      </c>
      <c r="O28" s="7" t="s">
        <v>115</v>
      </c>
      <c r="P28" s="140"/>
      <c r="Q28" s="141"/>
      <c r="R28" s="638" t="s">
        <v>539</v>
      </c>
      <c r="S28" s="638">
        <v>2</v>
      </c>
      <c r="T28" s="140"/>
      <c r="U28" s="141"/>
      <c r="V28" s="140"/>
      <c r="W28" s="140"/>
      <c r="X28" s="141"/>
      <c r="Y28" s="477" t="s">
        <v>359</v>
      </c>
      <c r="Z28" s="369"/>
      <c r="AA28" s="276">
        <v>10</v>
      </c>
      <c r="AB28" s="487">
        <v>70</v>
      </c>
      <c r="AC28" s="358"/>
    </row>
    <row r="29" spans="3:34" ht="15" customHeight="1" x14ac:dyDescent="0.2">
      <c r="C29" s="139"/>
      <c r="D29" s="950" t="s">
        <v>839</v>
      </c>
      <c r="E29" s="953">
        <v>0</v>
      </c>
      <c r="F29" s="141" t="s">
        <v>64</v>
      </c>
      <c r="G29" s="141"/>
      <c r="J29" s="143"/>
      <c r="K29" s="140"/>
      <c r="L29" s="140"/>
      <c r="M29" s="141"/>
      <c r="N29" s="7" t="s">
        <v>629</v>
      </c>
      <c r="O29" s="7" t="s">
        <v>115</v>
      </c>
      <c r="P29" s="140"/>
      <c r="Q29" s="141"/>
      <c r="R29" s="638" t="s">
        <v>537</v>
      </c>
      <c r="S29" s="638">
        <v>3</v>
      </c>
      <c r="T29" s="625" t="s">
        <v>529</v>
      </c>
      <c r="U29" s="141"/>
      <c r="V29" s="140"/>
      <c r="W29" s="140"/>
      <c r="X29" s="141"/>
      <c r="Y29" s="477" t="s">
        <v>360</v>
      </c>
      <c r="Z29" s="369"/>
      <c r="AA29" s="276">
        <v>10</v>
      </c>
      <c r="AB29" s="487">
        <v>70</v>
      </c>
      <c r="AC29" s="358"/>
    </row>
    <row r="30" spans="3:34" ht="15" customHeight="1" x14ac:dyDescent="0.2">
      <c r="C30" s="139"/>
      <c r="D30" s="950" t="s">
        <v>724</v>
      </c>
      <c r="E30" s="953">
        <v>0</v>
      </c>
      <c r="F30" s="141" t="s">
        <v>64</v>
      </c>
      <c r="G30" s="141"/>
      <c r="J30" s="143"/>
      <c r="K30" s="140"/>
      <c r="L30" s="140"/>
      <c r="M30" s="141"/>
      <c r="N30" s="638" t="s">
        <v>635</v>
      </c>
      <c r="O30" s="7" t="s">
        <v>115</v>
      </c>
      <c r="P30" s="140"/>
      <c r="Q30" s="141"/>
      <c r="R30" s="638" t="s">
        <v>536</v>
      </c>
      <c r="S30" s="638">
        <v>3</v>
      </c>
      <c r="T30" s="639" t="s">
        <v>195</v>
      </c>
      <c r="U30" s="141"/>
      <c r="V30" s="140"/>
      <c r="W30" s="140"/>
      <c r="X30" s="141"/>
      <c r="Y30" s="477" t="s">
        <v>361</v>
      </c>
      <c r="Z30" s="369"/>
      <c r="AA30" s="276">
        <v>10</v>
      </c>
      <c r="AB30" s="487">
        <v>70</v>
      </c>
      <c r="AC30" s="358"/>
    </row>
    <row r="31" spans="3:34" ht="15" customHeight="1" x14ac:dyDescent="0.2">
      <c r="C31" s="139"/>
      <c r="D31" s="950" t="s">
        <v>300</v>
      </c>
      <c r="E31" s="953">
        <v>0</v>
      </c>
      <c r="F31" s="141" t="s">
        <v>64</v>
      </c>
      <c r="G31" s="141"/>
      <c r="J31" s="143"/>
      <c r="K31" s="140"/>
      <c r="L31" s="140"/>
      <c r="M31" s="141"/>
      <c r="N31" s="140"/>
      <c r="O31" s="7"/>
      <c r="P31" s="140"/>
      <c r="Q31" s="141"/>
      <c r="R31" s="638" t="s">
        <v>540</v>
      </c>
      <c r="S31" s="638">
        <v>4</v>
      </c>
      <c r="T31" s="639" t="s">
        <v>197</v>
      </c>
      <c r="U31" s="141"/>
      <c r="V31" s="140"/>
      <c r="W31" s="140"/>
      <c r="X31" s="141"/>
      <c r="Y31" s="477" t="s">
        <v>362</v>
      </c>
      <c r="Z31" s="369"/>
      <c r="AA31" s="276">
        <v>10</v>
      </c>
      <c r="AB31" s="487">
        <v>70</v>
      </c>
      <c r="AC31" s="358"/>
    </row>
    <row r="32" spans="3:34" ht="15" customHeight="1" x14ac:dyDescent="0.2">
      <c r="C32" s="139"/>
      <c r="D32" s="950" t="s">
        <v>655</v>
      </c>
      <c r="E32" s="953">
        <v>0</v>
      </c>
      <c r="F32" s="141" t="s">
        <v>64</v>
      </c>
      <c r="G32" s="141"/>
      <c r="J32" s="143"/>
      <c r="K32" s="140"/>
      <c r="L32" s="140"/>
      <c r="M32" s="141"/>
      <c r="N32" s="140"/>
      <c r="O32" s="7"/>
      <c r="P32" s="140"/>
      <c r="Q32" s="141"/>
      <c r="R32" s="638" t="s">
        <v>541</v>
      </c>
      <c r="S32" s="638">
        <v>4</v>
      </c>
      <c r="T32" s="639" t="s">
        <v>492</v>
      </c>
      <c r="U32" s="141"/>
      <c r="V32" s="140"/>
      <c r="W32" s="140"/>
      <c r="X32" s="141"/>
      <c r="Y32" s="477" t="s">
        <v>363</v>
      </c>
      <c r="Z32" s="369"/>
      <c r="AA32" s="276">
        <v>10</v>
      </c>
      <c r="AB32" s="487">
        <v>70</v>
      </c>
      <c r="AC32" s="358"/>
    </row>
    <row r="33" spans="3:29" ht="15" customHeight="1" x14ac:dyDescent="0.2">
      <c r="C33" s="139"/>
      <c r="E33" s="140"/>
      <c r="F33" s="145"/>
      <c r="G33" s="141"/>
      <c r="J33" s="143"/>
      <c r="K33" s="140"/>
      <c r="L33" s="140"/>
      <c r="M33" s="141"/>
      <c r="N33" s="140"/>
      <c r="O33" s="7"/>
      <c r="P33" s="140"/>
      <c r="Q33" s="141"/>
      <c r="R33" s="638" t="s">
        <v>542</v>
      </c>
      <c r="S33" s="638">
        <v>4</v>
      </c>
      <c r="T33" s="140"/>
      <c r="U33" s="141"/>
      <c r="V33" s="140"/>
      <c r="W33" s="140"/>
      <c r="X33" s="141"/>
      <c r="Y33" s="477" t="s">
        <v>364</v>
      </c>
      <c r="Z33" s="369"/>
      <c r="AA33" s="276">
        <v>10</v>
      </c>
      <c r="AB33" s="487">
        <v>70</v>
      </c>
      <c r="AC33" s="358"/>
    </row>
    <row r="34" spans="3:29" ht="15" customHeight="1" x14ac:dyDescent="0.2">
      <c r="C34" s="139"/>
      <c r="D34" s="140"/>
      <c r="E34" s="140"/>
      <c r="F34" s="145"/>
      <c r="G34" s="141"/>
      <c r="J34" s="143"/>
      <c r="K34" s="140"/>
      <c r="L34" s="140"/>
      <c r="M34" s="141"/>
      <c r="N34" s="140"/>
      <c r="O34" s="7"/>
      <c r="P34" s="140"/>
      <c r="Q34" s="141"/>
      <c r="R34" s="638" t="s">
        <v>543</v>
      </c>
      <c r="S34" s="638">
        <v>4</v>
      </c>
      <c r="T34" s="140"/>
      <c r="U34" s="141"/>
      <c r="V34" s="140"/>
      <c r="W34" s="140"/>
      <c r="X34" s="141"/>
      <c r="Y34" s="477" t="s">
        <v>365</v>
      </c>
      <c r="Z34" s="369"/>
      <c r="AA34" s="276">
        <v>10</v>
      </c>
      <c r="AB34" s="487">
        <v>70</v>
      </c>
      <c r="AC34" s="358"/>
    </row>
    <row r="35" spans="3:29" ht="15" customHeight="1" x14ac:dyDescent="0.2">
      <c r="C35" s="139"/>
      <c r="D35" s="140"/>
      <c r="E35" s="140"/>
      <c r="F35" s="145"/>
      <c r="G35" s="141"/>
      <c r="J35" s="143"/>
      <c r="K35" s="140"/>
      <c r="L35" s="140"/>
      <c r="M35" s="141"/>
      <c r="N35" s="140"/>
      <c r="O35" s="7"/>
      <c r="P35" s="140"/>
      <c r="Q35" s="141"/>
      <c r="R35" s="638" t="s">
        <v>544</v>
      </c>
      <c r="S35" s="638">
        <v>6</v>
      </c>
      <c r="T35" s="140"/>
      <c r="U35" s="141"/>
      <c r="V35" s="140"/>
      <c r="W35" s="140"/>
      <c r="X35" s="141"/>
      <c r="Y35" s="477" t="s">
        <v>366</v>
      </c>
      <c r="Z35" s="369"/>
      <c r="AA35" s="276">
        <v>10</v>
      </c>
      <c r="AB35" s="487">
        <v>70</v>
      </c>
      <c r="AC35" s="358"/>
    </row>
    <row r="36" spans="3:29" ht="15" customHeight="1" x14ac:dyDescent="0.2">
      <c r="C36" s="139"/>
      <c r="D36" s="140"/>
      <c r="E36" s="140"/>
      <c r="F36" s="145"/>
      <c r="G36" s="141"/>
      <c r="J36" s="143"/>
      <c r="K36" s="140"/>
      <c r="L36" s="140"/>
      <c r="M36" s="141"/>
      <c r="N36" s="140"/>
      <c r="O36" s="7"/>
      <c r="P36" s="140"/>
      <c r="Q36" s="141"/>
      <c r="R36" s="638" t="s">
        <v>545</v>
      </c>
      <c r="S36" s="638">
        <v>6</v>
      </c>
      <c r="T36" s="140"/>
      <c r="U36" s="141"/>
      <c r="V36" s="140"/>
      <c r="W36" s="140"/>
      <c r="X36" s="141"/>
      <c r="Y36" s="477" t="s">
        <v>367</v>
      </c>
      <c r="Z36" s="369"/>
      <c r="AA36" s="276">
        <v>10</v>
      </c>
      <c r="AB36" s="487">
        <v>70</v>
      </c>
      <c r="AC36" s="358"/>
    </row>
    <row r="37" spans="3:29" ht="15" customHeight="1" x14ac:dyDescent="0.2">
      <c r="D37" s="140"/>
      <c r="E37" s="140"/>
      <c r="F37" s="145"/>
      <c r="G37" s="141"/>
      <c r="J37" s="143"/>
      <c r="K37" s="140"/>
      <c r="L37" s="140"/>
      <c r="M37" s="141"/>
      <c r="N37" s="140"/>
      <c r="O37" s="7"/>
      <c r="P37" s="140"/>
      <c r="Q37" s="141"/>
      <c r="R37" s="140"/>
      <c r="S37" s="140"/>
      <c r="T37" s="140"/>
      <c r="U37" s="141"/>
      <c r="V37" s="140"/>
      <c r="W37" s="140"/>
      <c r="X37" s="141"/>
      <c r="Y37" s="478" t="s">
        <v>368</v>
      </c>
      <c r="Z37" s="479"/>
      <c r="AA37" s="480">
        <v>10</v>
      </c>
      <c r="AB37" s="488">
        <v>70</v>
      </c>
      <c r="AC37" s="358"/>
    </row>
    <row r="38" spans="3:29" ht="15" customHeight="1" x14ac:dyDescent="0.2">
      <c r="D38" s="140"/>
      <c r="E38" s="140"/>
      <c r="F38" s="141"/>
      <c r="G38" s="141"/>
      <c r="J38" s="143"/>
      <c r="K38" s="140"/>
      <c r="L38" s="140"/>
      <c r="M38" s="141"/>
      <c r="N38" s="140"/>
      <c r="O38" s="7"/>
      <c r="P38" s="140"/>
      <c r="Q38" s="141"/>
      <c r="R38" s="140"/>
      <c r="S38" s="140"/>
      <c r="T38" s="140"/>
      <c r="U38" s="141"/>
      <c r="V38" s="140"/>
      <c r="W38" s="140"/>
      <c r="X38" s="141"/>
      <c r="Y38" s="478" t="s">
        <v>369</v>
      </c>
      <c r="Z38" s="479"/>
      <c r="AA38" s="480">
        <v>10</v>
      </c>
      <c r="AB38" s="488">
        <v>70</v>
      </c>
      <c r="AC38" s="358"/>
    </row>
    <row r="39" spans="3:29" ht="15" customHeight="1" thickBot="1" x14ac:dyDescent="0.25">
      <c r="D39" s="140"/>
      <c r="E39" s="140"/>
      <c r="F39" s="141"/>
      <c r="G39" s="141"/>
      <c r="J39" s="143"/>
      <c r="K39" s="140"/>
      <c r="L39" s="140"/>
      <c r="M39" s="141"/>
      <c r="N39" s="140"/>
      <c r="O39" s="7"/>
      <c r="P39" s="140"/>
      <c r="Q39" s="141"/>
      <c r="R39" s="140"/>
      <c r="S39" s="140"/>
      <c r="T39" s="140"/>
      <c r="U39" s="141"/>
      <c r="V39" s="140"/>
      <c r="W39" s="140"/>
      <c r="X39" s="141"/>
      <c r="Y39" s="482" t="s">
        <v>178</v>
      </c>
      <c r="Z39" s="361">
        <v>0</v>
      </c>
      <c r="AA39" s="361">
        <v>0</v>
      </c>
      <c r="AB39" s="482"/>
      <c r="AC39" s="358"/>
    </row>
    <row r="40" spans="3:29" ht="15" customHeight="1" x14ac:dyDescent="0.2">
      <c r="D40" s="273" t="s">
        <v>267</v>
      </c>
      <c r="E40" s="140"/>
      <c r="F40" s="141"/>
      <c r="G40" s="141"/>
      <c r="J40" s="143"/>
      <c r="K40" s="140"/>
      <c r="L40" s="140"/>
      <c r="M40" s="141"/>
      <c r="N40" s="140"/>
      <c r="O40" s="7"/>
      <c r="P40" s="140"/>
      <c r="Q40" s="141"/>
      <c r="R40" s="140"/>
      <c r="S40" s="140"/>
      <c r="T40" s="140"/>
      <c r="U40" s="141"/>
      <c r="V40" s="140"/>
      <c r="W40" s="140"/>
      <c r="X40" s="141"/>
      <c r="Y40" s="270" t="s">
        <v>528</v>
      </c>
      <c r="Z40" s="372">
        <v>7.5</v>
      </c>
      <c r="AA40" s="372">
        <v>7.5</v>
      </c>
      <c r="AB40" s="140"/>
      <c r="AC40" s="358"/>
    </row>
    <row r="41" spans="3:29" ht="15" customHeight="1" x14ac:dyDescent="0.2">
      <c r="D41" s="7" t="s">
        <v>832</v>
      </c>
      <c r="E41" s="140"/>
      <c r="F41" s="141"/>
      <c r="G41" s="141"/>
      <c r="J41" s="143"/>
      <c r="K41" s="140"/>
      <c r="L41" s="140"/>
      <c r="M41" s="141"/>
      <c r="N41" s="140"/>
      <c r="O41" s="7"/>
      <c r="P41" s="140"/>
      <c r="Q41" s="141"/>
      <c r="R41" s="140"/>
      <c r="S41" s="140"/>
      <c r="T41" s="140"/>
      <c r="U41" s="141"/>
      <c r="V41" s="140"/>
      <c r="W41" s="140"/>
      <c r="X41" s="141"/>
      <c r="Y41" s="270" t="s">
        <v>217</v>
      </c>
      <c r="Z41" s="372">
        <v>9</v>
      </c>
      <c r="AA41" s="372">
        <v>9</v>
      </c>
      <c r="AB41" s="140"/>
      <c r="AC41" s="358"/>
    </row>
    <row r="42" spans="3:29" x14ac:dyDescent="0.2">
      <c r="D42" s="7" t="s">
        <v>716</v>
      </c>
      <c r="E42" s="140"/>
      <c r="F42" s="141"/>
      <c r="G42" s="141"/>
      <c r="J42" s="143"/>
      <c r="K42" s="140"/>
      <c r="L42" s="140"/>
      <c r="M42" s="141"/>
      <c r="N42" s="140"/>
      <c r="O42" s="7"/>
      <c r="P42" s="140"/>
      <c r="Q42" s="141"/>
      <c r="R42" s="140"/>
      <c r="S42" s="140"/>
      <c r="T42" s="140"/>
      <c r="U42" s="141"/>
      <c r="V42" s="140"/>
      <c r="W42" s="140"/>
      <c r="X42" s="141"/>
      <c r="Y42" s="270" t="s">
        <v>179</v>
      </c>
      <c r="Z42" s="372">
        <v>10.1</v>
      </c>
      <c r="AA42" s="372">
        <v>10.1</v>
      </c>
      <c r="AB42" s="140"/>
      <c r="AC42" s="358"/>
    </row>
    <row r="43" spans="3:29" x14ac:dyDescent="0.2">
      <c r="D43" s="7" t="s">
        <v>50</v>
      </c>
      <c r="E43" s="140"/>
      <c r="F43" s="141"/>
      <c r="G43" s="141"/>
      <c r="J43" s="143"/>
      <c r="K43" s="140"/>
      <c r="L43" s="140"/>
      <c r="M43" s="141"/>
      <c r="N43" s="140"/>
      <c r="O43" s="7"/>
      <c r="P43" s="140"/>
      <c r="Q43" s="141"/>
      <c r="R43" s="140"/>
      <c r="S43" s="140"/>
      <c r="T43" s="140"/>
      <c r="U43" s="141"/>
      <c r="V43" s="140"/>
      <c r="W43" s="140"/>
      <c r="X43" s="141"/>
      <c r="Y43" s="270" t="s">
        <v>180</v>
      </c>
      <c r="Z43" s="372">
        <v>12.1</v>
      </c>
      <c r="AA43" s="372">
        <v>12.1</v>
      </c>
      <c r="AB43" s="140"/>
      <c r="AC43" s="358"/>
    </row>
    <row r="44" spans="3:29" x14ac:dyDescent="0.2">
      <c r="D44" s="140"/>
      <c r="E44" s="140"/>
      <c r="F44" s="141"/>
      <c r="G44" s="141"/>
      <c r="J44" s="143"/>
      <c r="K44" s="140"/>
      <c r="L44" s="140"/>
      <c r="M44" s="141"/>
      <c r="N44" s="140"/>
      <c r="O44" s="7"/>
      <c r="P44" s="140"/>
      <c r="Q44" s="141"/>
      <c r="R44" s="140"/>
      <c r="S44" s="140"/>
      <c r="T44" s="140"/>
      <c r="U44" s="141"/>
      <c r="V44" s="140"/>
      <c r="W44" s="140"/>
      <c r="X44" s="141"/>
      <c r="Y44" s="270" t="s">
        <v>181</v>
      </c>
      <c r="Z44" s="372">
        <v>13.5</v>
      </c>
      <c r="AA44" s="372">
        <v>13.5</v>
      </c>
      <c r="AB44" s="140"/>
      <c r="AC44" s="358"/>
    </row>
    <row r="45" spans="3:29" ht="12.75" thickBot="1" x14ac:dyDescent="0.25">
      <c r="D45" s="140"/>
      <c r="E45" s="140"/>
      <c r="F45" s="141"/>
      <c r="G45" s="141"/>
      <c r="J45" s="143"/>
      <c r="K45" s="140"/>
      <c r="L45" s="140"/>
      <c r="M45" s="141"/>
      <c r="N45" s="140"/>
      <c r="O45" s="7"/>
      <c r="P45" s="140"/>
      <c r="Q45" s="141"/>
      <c r="R45" s="140"/>
      <c r="S45" s="140"/>
      <c r="T45" s="140"/>
      <c r="U45" s="141"/>
      <c r="V45" s="140"/>
      <c r="W45" s="140"/>
      <c r="X45" s="141"/>
      <c r="Y45" s="140" t="s">
        <v>296</v>
      </c>
      <c r="Z45" s="140">
        <v>0</v>
      </c>
      <c r="AA45" s="140">
        <v>0</v>
      </c>
      <c r="AB45" s="140"/>
      <c r="AC45" s="358"/>
    </row>
    <row r="46" spans="3:29" x14ac:dyDescent="0.2">
      <c r="D46" s="273" t="s">
        <v>299</v>
      </c>
      <c r="E46" s="140"/>
      <c r="F46" s="141"/>
      <c r="G46" s="141"/>
      <c r="J46" s="143"/>
      <c r="K46" s="140"/>
      <c r="L46" s="140"/>
      <c r="M46" s="141"/>
      <c r="N46" s="140"/>
      <c r="O46" s="7"/>
      <c r="P46" s="140"/>
      <c r="Q46" s="141"/>
      <c r="R46" s="140"/>
      <c r="S46" s="140"/>
      <c r="T46" s="140"/>
      <c r="U46" s="141"/>
      <c r="V46" s="140"/>
      <c r="W46" s="140"/>
      <c r="X46" s="141"/>
      <c r="Y46" s="140"/>
      <c r="Z46" s="298"/>
      <c r="AA46" s="140"/>
      <c r="AB46" s="140"/>
      <c r="AC46" s="358"/>
    </row>
    <row r="47" spans="3:29" x14ac:dyDescent="0.2">
      <c r="D47" s="7" t="s">
        <v>49</v>
      </c>
      <c r="E47" s="140"/>
      <c r="F47" s="141"/>
      <c r="G47" s="141"/>
      <c r="J47" s="143"/>
      <c r="K47" s="140"/>
      <c r="L47" s="140"/>
      <c r="M47" s="141"/>
      <c r="N47" s="140"/>
      <c r="O47" s="7"/>
      <c r="P47" s="140"/>
      <c r="Q47" s="141"/>
      <c r="T47" s="140"/>
      <c r="U47" s="141"/>
      <c r="V47" s="140"/>
      <c r="W47" s="140"/>
      <c r="X47" s="141"/>
      <c r="Y47" s="140"/>
      <c r="Z47" s="298"/>
      <c r="AA47" s="140"/>
      <c r="AB47" s="140"/>
      <c r="AC47" s="358"/>
    </row>
    <row r="48" spans="3:29" x14ac:dyDescent="0.2">
      <c r="D48" s="7" t="s">
        <v>832</v>
      </c>
      <c r="E48" s="140"/>
      <c r="F48" s="141"/>
      <c r="G48" s="141"/>
      <c r="J48" s="143"/>
      <c r="K48" s="140"/>
      <c r="L48" s="140"/>
      <c r="M48" s="141"/>
      <c r="N48" s="140"/>
      <c r="O48" s="7"/>
      <c r="P48" s="140"/>
      <c r="Q48" s="141"/>
      <c r="T48" s="140"/>
      <c r="U48" s="141"/>
      <c r="V48" s="140"/>
      <c r="W48" s="140"/>
      <c r="X48" s="141"/>
      <c r="Y48" s="140"/>
      <c r="Z48" s="298"/>
      <c r="AA48" s="140"/>
      <c r="AB48" s="140"/>
      <c r="AC48" s="358"/>
    </row>
    <row r="49" spans="4:29" x14ac:dyDescent="0.2">
      <c r="D49" s="7" t="s">
        <v>716</v>
      </c>
      <c r="E49" s="140"/>
      <c r="F49" s="141"/>
      <c r="G49" s="141"/>
      <c r="J49" s="143"/>
      <c r="K49" s="140"/>
      <c r="L49" s="140"/>
      <c r="M49" s="141"/>
      <c r="N49" s="140"/>
      <c r="O49" s="7"/>
      <c r="P49" s="140"/>
      <c r="Q49" s="141"/>
      <c r="T49" s="140"/>
      <c r="U49" s="141"/>
      <c r="V49" s="140"/>
      <c r="W49" s="140"/>
      <c r="X49" s="141"/>
      <c r="Y49" s="140"/>
      <c r="Z49" s="298"/>
      <c r="AA49" s="140"/>
      <c r="AB49" s="140"/>
      <c r="AC49" s="358"/>
    </row>
    <row r="50" spans="4:29" x14ac:dyDescent="0.2">
      <c r="D50" s="7" t="s">
        <v>50</v>
      </c>
      <c r="E50" s="140"/>
      <c r="F50" s="141"/>
      <c r="G50" s="141"/>
      <c r="J50" s="143"/>
      <c r="K50" s="140"/>
      <c r="L50" s="140"/>
      <c r="M50" s="141"/>
      <c r="N50" s="140"/>
      <c r="O50" s="7"/>
      <c r="P50" s="140"/>
      <c r="Q50" s="141"/>
      <c r="T50" s="140"/>
      <c r="U50" s="141"/>
      <c r="V50" s="140"/>
      <c r="W50" s="140"/>
      <c r="X50" s="141"/>
      <c r="Y50" s="140"/>
      <c r="Z50" s="298"/>
      <c r="AA50" s="140"/>
      <c r="AB50" s="140"/>
      <c r="AC50" s="358"/>
    </row>
    <row r="51" spans="4:29" x14ac:dyDescent="0.2">
      <c r="D51" s="7" t="s">
        <v>75</v>
      </c>
      <c r="E51" s="140"/>
      <c r="F51" s="141"/>
      <c r="G51" s="141"/>
      <c r="J51" s="143"/>
      <c r="K51" s="140"/>
      <c r="L51" s="140"/>
      <c r="M51" s="141"/>
      <c r="N51" s="140"/>
      <c r="O51" s="7"/>
      <c r="P51" s="140"/>
      <c r="Q51" s="141"/>
      <c r="T51" s="140"/>
      <c r="U51" s="141"/>
      <c r="V51" s="140"/>
      <c r="W51" s="140"/>
      <c r="X51" s="141"/>
      <c r="Y51" s="140"/>
      <c r="Z51" s="140"/>
      <c r="AA51" s="140"/>
      <c r="AB51" s="140"/>
      <c r="AC51" s="358"/>
    </row>
    <row r="52" spans="4:29" x14ac:dyDescent="0.2">
      <c r="D52" s="7" t="s">
        <v>316</v>
      </c>
      <c r="E52" s="140"/>
      <c r="F52" s="141"/>
      <c r="G52" s="141"/>
      <c r="J52" s="143"/>
      <c r="K52" s="140"/>
      <c r="L52" s="140"/>
      <c r="M52" s="141"/>
      <c r="N52" s="140"/>
      <c r="O52" s="7"/>
      <c r="P52" s="140"/>
      <c r="Q52" s="141"/>
      <c r="T52" s="140"/>
      <c r="U52" s="141"/>
      <c r="V52" s="140"/>
      <c r="W52" s="140"/>
      <c r="X52" s="141"/>
      <c r="Y52" s="140"/>
      <c r="Z52" s="140"/>
      <c r="AA52" s="140"/>
      <c r="AB52" s="140"/>
      <c r="AC52" s="358"/>
    </row>
    <row r="53" spans="4:29" x14ac:dyDescent="0.2">
      <c r="D53" s="7" t="s">
        <v>317</v>
      </c>
      <c r="E53" s="140"/>
      <c r="F53" s="141"/>
      <c r="G53" s="141"/>
      <c r="J53" s="143"/>
      <c r="K53" s="140"/>
      <c r="L53" s="140"/>
      <c r="M53" s="141"/>
      <c r="N53" s="140"/>
      <c r="O53" s="7"/>
      <c r="P53" s="140"/>
      <c r="Q53" s="141"/>
      <c r="T53" s="140"/>
      <c r="U53" s="141"/>
      <c r="V53" s="140"/>
      <c r="W53" s="140"/>
      <c r="X53" s="141"/>
      <c r="Y53" s="140"/>
      <c r="Z53" s="140"/>
      <c r="AA53" s="140"/>
      <c r="AB53" s="140"/>
      <c r="AC53" s="358"/>
    </row>
    <row r="54" spans="4:29" x14ac:dyDescent="0.2">
      <c r="D54" s="7" t="s">
        <v>835</v>
      </c>
      <c r="E54" s="140"/>
      <c r="F54" s="141"/>
      <c r="G54" s="141"/>
      <c r="J54" s="143"/>
      <c r="K54" s="140"/>
      <c r="L54" s="140"/>
      <c r="M54" s="141"/>
      <c r="N54" s="140"/>
      <c r="O54" s="7"/>
      <c r="Q54" s="141"/>
      <c r="T54" s="140"/>
      <c r="U54" s="141"/>
      <c r="V54" s="140"/>
      <c r="W54" s="140"/>
      <c r="X54" s="141"/>
      <c r="Y54" s="140"/>
      <c r="Z54" s="140"/>
      <c r="AA54" s="140"/>
      <c r="AB54" s="140"/>
      <c r="AC54" s="358"/>
    </row>
    <row r="55" spans="4:29" x14ac:dyDescent="0.2">
      <c r="D55" s="7" t="s">
        <v>836</v>
      </c>
      <c r="E55" s="140"/>
      <c r="F55" s="141"/>
      <c r="G55" s="141"/>
      <c r="J55" s="143"/>
      <c r="K55" s="140"/>
      <c r="L55" s="140"/>
      <c r="M55" s="141"/>
      <c r="N55" s="140"/>
      <c r="Q55" s="141"/>
      <c r="T55" s="140"/>
      <c r="U55" s="141"/>
      <c r="X55" s="141"/>
      <c r="Y55" s="140"/>
      <c r="Z55" s="140"/>
      <c r="AA55" s="140"/>
      <c r="AB55" s="140"/>
      <c r="AC55" s="358"/>
    </row>
    <row r="56" spans="4:29" x14ac:dyDescent="0.2">
      <c r="D56" s="7" t="s">
        <v>720</v>
      </c>
      <c r="E56" s="140"/>
      <c r="F56" s="141"/>
      <c r="G56" s="141"/>
      <c r="J56" s="141"/>
      <c r="K56" s="140"/>
      <c r="L56" s="140"/>
      <c r="M56" s="141"/>
      <c r="N56" s="140"/>
      <c r="Q56" s="141"/>
      <c r="T56" s="140"/>
      <c r="U56" s="141"/>
      <c r="X56" s="141"/>
      <c r="Y56" s="140"/>
      <c r="Z56" s="140"/>
      <c r="AA56" s="140"/>
      <c r="AB56" s="140"/>
      <c r="AC56" s="358"/>
    </row>
    <row r="57" spans="4:29" x14ac:dyDescent="0.2">
      <c r="D57" s="7" t="s">
        <v>721</v>
      </c>
      <c r="E57" s="140"/>
      <c r="F57" s="141"/>
      <c r="G57" s="141"/>
      <c r="J57" s="141"/>
      <c r="K57" s="140"/>
      <c r="L57" s="140"/>
      <c r="M57" s="141"/>
      <c r="N57" s="140"/>
      <c r="Q57" s="141"/>
      <c r="T57" s="140"/>
      <c r="U57" s="141"/>
      <c r="X57" s="141"/>
      <c r="Y57" s="140"/>
      <c r="Z57" s="140"/>
      <c r="AA57" s="140"/>
      <c r="AB57" s="140"/>
      <c r="AC57" s="358"/>
    </row>
    <row r="58" spans="4:29" x14ac:dyDescent="0.2">
      <c r="D58" s="7" t="s">
        <v>318</v>
      </c>
      <c r="E58" s="140"/>
      <c r="F58" s="141"/>
      <c r="G58" s="141"/>
      <c r="J58" s="141"/>
      <c r="M58" s="141"/>
      <c r="N58" s="140"/>
      <c r="Q58" s="141"/>
      <c r="T58" s="140"/>
      <c r="U58" s="141"/>
      <c r="X58" s="141"/>
      <c r="Y58" s="140"/>
      <c r="Z58" s="140"/>
      <c r="AA58" s="140"/>
      <c r="AB58" s="140"/>
      <c r="AC58" s="358"/>
    </row>
    <row r="59" spans="4:29" x14ac:dyDescent="0.2">
      <c r="D59" s="7" t="s">
        <v>319</v>
      </c>
      <c r="E59" s="140"/>
      <c r="F59" s="141"/>
      <c r="N59" s="140"/>
      <c r="T59" s="140"/>
      <c r="Y59" s="140"/>
      <c r="Z59" s="140"/>
      <c r="AA59" s="140"/>
      <c r="AB59" s="140"/>
      <c r="AC59" s="358"/>
    </row>
    <row r="60" spans="4:29" x14ac:dyDescent="0.2">
      <c r="D60" s="7" t="s">
        <v>320</v>
      </c>
      <c r="E60" s="140"/>
      <c r="F60" s="141"/>
      <c r="N60" s="140"/>
      <c r="T60" s="140"/>
      <c r="Y60" s="140"/>
      <c r="Z60" s="140"/>
      <c r="AA60" s="140"/>
      <c r="AB60" s="140"/>
      <c r="AC60" s="358"/>
    </row>
    <row r="61" spans="4:29" x14ac:dyDescent="0.2">
      <c r="D61" s="7" t="s">
        <v>321</v>
      </c>
      <c r="F61" s="141"/>
      <c r="N61" s="140"/>
      <c r="T61" s="140"/>
      <c r="Y61" s="140"/>
      <c r="Z61" s="140"/>
      <c r="AA61" s="140"/>
      <c r="AB61" s="140"/>
      <c r="AC61" s="358"/>
    </row>
    <row r="62" spans="4:29" x14ac:dyDescent="0.2">
      <c r="D62" s="7" t="s">
        <v>312</v>
      </c>
      <c r="F62" s="141"/>
      <c r="N62" s="140"/>
      <c r="T62" s="140"/>
      <c r="Y62" s="140"/>
      <c r="Z62" s="140"/>
      <c r="AA62" s="140"/>
      <c r="AB62" s="140"/>
      <c r="AC62" s="358"/>
    </row>
    <row r="63" spans="4:29" x14ac:dyDescent="0.2">
      <c r="D63" s="7" t="s">
        <v>313</v>
      </c>
      <c r="F63" s="141"/>
      <c r="N63" s="140"/>
      <c r="T63" s="140"/>
      <c r="Y63" s="140"/>
      <c r="Z63" s="140"/>
      <c r="AA63" s="140"/>
      <c r="AB63" s="140"/>
      <c r="AC63" s="358"/>
    </row>
    <row r="64" spans="4:29" x14ac:dyDescent="0.2">
      <c r="D64" s="7" t="s">
        <v>844</v>
      </c>
      <c r="F64" s="141"/>
      <c r="N64" s="140"/>
      <c r="T64" s="140"/>
      <c r="Y64" s="140"/>
      <c r="Z64" s="140"/>
      <c r="AA64" s="140"/>
      <c r="AB64" s="140"/>
      <c r="AC64" s="358"/>
    </row>
    <row r="65" spans="4:29" x14ac:dyDescent="0.2">
      <c r="D65" s="7" t="s">
        <v>834</v>
      </c>
      <c r="F65" s="141"/>
      <c r="N65" s="140"/>
      <c r="T65" s="140"/>
      <c r="Y65" s="140"/>
      <c r="Z65" s="140"/>
      <c r="AA65" s="140"/>
      <c r="AB65" s="140"/>
      <c r="AC65" s="358"/>
    </row>
    <row r="66" spans="4:29" x14ac:dyDescent="0.2">
      <c r="D66" s="7" t="s">
        <v>718</v>
      </c>
      <c r="N66" s="140"/>
      <c r="Y66" s="140"/>
      <c r="Z66" s="140"/>
      <c r="AA66" s="140"/>
      <c r="AB66" s="140"/>
    </row>
    <row r="67" spans="4:29" x14ac:dyDescent="0.2">
      <c r="D67" s="7" t="s">
        <v>719</v>
      </c>
      <c r="N67" s="140"/>
      <c r="Y67" s="140"/>
      <c r="Z67" s="140"/>
      <c r="AA67" s="140"/>
      <c r="AB67" s="140"/>
    </row>
    <row r="68" spans="4:29" x14ac:dyDescent="0.2">
      <c r="D68" s="7" t="s">
        <v>322</v>
      </c>
      <c r="N68" s="140"/>
      <c r="AB68" s="140"/>
    </row>
    <row r="69" spans="4:29" x14ac:dyDescent="0.2">
      <c r="D69" s="7" t="s">
        <v>323</v>
      </c>
      <c r="N69" s="140"/>
      <c r="AB69" s="140"/>
    </row>
    <row r="70" spans="4:29" x14ac:dyDescent="0.2">
      <c r="D70" s="7" t="s">
        <v>314</v>
      </c>
      <c r="N70" s="140"/>
      <c r="AB70" s="140"/>
    </row>
    <row r="71" spans="4:29" ht="24" x14ac:dyDescent="0.2">
      <c r="D71" s="7" t="s">
        <v>315</v>
      </c>
      <c r="N71" s="140"/>
      <c r="AB71" s="140"/>
    </row>
    <row r="72" spans="4:29" x14ac:dyDescent="0.2">
      <c r="D72" s="140"/>
      <c r="N72" s="140"/>
      <c r="AB72" s="140"/>
    </row>
    <row r="73" spans="4:29" x14ac:dyDescent="0.2">
      <c r="D73" s="140"/>
      <c r="N73" s="140"/>
      <c r="AB73" s="140"/>
    </row>
    <row r="74" spans="4:29" x14ac:dyDescent="0.2">
      <c r="D74" s="140"/>
      <c r="N74" s="140"/>
      <c r="AB74" s="140"/>
    </row>
    <row r="75" spans="4:29" x14ac:dyDescent="0.2">
      <c r="D75" s="140"/>
      <c r="N75" s="140"/>
      <c r="AB75" s="140"/>
    </row>
    <row r="76" spans="4:29" x14ac:dyDescent="0.2">
      <c r="D76" s="140"/>
      <c r="N76" s="140"/>
    </row>
    <row r="77" spans="4:29" x14ac:dyDescent="0.2">
      <c r="D77" s="140"/>
      <c r="N77" s="140"/>
    </row>
    <row r="78" spans="4:29" x14ac:dyDescent="0.2">
      <c r="D78" s="140"/>
      <c r="N78" s="140"/>
    </row>
    <row r="79" spans="4:29" x14ac:dyDescent="0.2">
      <c r="D79" s="140"/>
    </row>
    <row r="80" spans="4:29" x14ac:dyDescent="0.2">
      <c r="D80" s="140"/>
    </row>
    <row r="81" spans="4:4" x14ac:dyDescent="0.2">
      <c r="D81" s="140"/>
    </row>
  </sheetData>
  <sheetProtection selectLockedCells="1" selectUnlockedCells="1"/>
  <dataConsolidate/>
  <customSheetViews>
    <customSheetView guid="{554C7132-FEB4-4016-AC1F-AA27B41C0DFC}" scale="75" showGridLines="0" fitToPage="1" topLeftCell="P1">
      <selection activeCell="T9" sqref="T9"/>
      <pageMargins left="0.17" right="0.75" top="0.28000000000000003" bottom="1" header="0.17" footer="0.5"/>
      <pageSetup scale="52" fitToWidth="2" orientation="landscape" horizontalDpi="1200" verticalDpi="1200" r:id="rId1"/>
      <headerFooter alignWithMargins="0"/>
    </customSheetView>
  </customSheetViews>
  <mergeCells count="3">
    <mergeCell ref="K1:L1"/>
    <mergeCell ref="N1:O1"/>
    <mergeCell ref="D1:E1"/>
  </mergeCell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E5:AF5 K5:L5 M6 T13 J56 V7 AB16 AC15 N31" xr:uid="{00000000-0002-0000-0900-000000000000}">
      <formula1>0</formula1>
    </dataValidation>
  </dataValidations>
  <pageMargins left="0.17" right="0.75" top="0.28000000000000003" bottom="1" header="0.17" footer="0.5"/>
  <pageSetup scale="47" fitToWidth="2" orientation="landscape" horizontalDpi="1200" verticalDpi="1200" r:id="rId2"/>
  <headerFooter alignWithMargins="0"/>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BZ78"/>
  <sheetViews>
    <sheetView showGridLines="0" topLeftCell="CA1" zoomScale="75" zoomScaleNormal="100" workbookViewId="0">
      <selection sqref="A1:BZ1048576"/>
    </sheetView>
  </sheetViews>
  <sheetFormatPr defaultRowHeight="12" x14ac:dyDescent="0.2"/>
  <cols>
    <col min="1" max="1" width="8.88671875" style="287" hidden="1" customWidth="1"/>
    <col min="2" max="2" width="2.88671875" style="287" hidden="1" customWidth="1"/>
    <col min="3" max="3" width="5.21875" style="288" hidden="1" customWidth="1"/>
    <col min="4" max="4" width="22.5546875" style="287" hidden="1" customWidth="1"/>
    <col min="5" max="5" width="10.6640625" style="287" hidden="1" customWidth="1"/>
    <col min="6" max="6" width="18" style="287" hidden="1" customWidth="1"/>
    <col min="7" max="7" width="4.33203125" style="288" hidden="1" customWidth="1"/>
    <col min="8" max="8" width="14.88671875" style="287" hidden="1" customWidth="1"/>
    <col min="9" max="9" width="8.109375" style="287" hidden="1" customWidth="1"/>
    <col min="10" max="10" width="4.77734375" style="288" hidden="1" customWidth="1"/>
    <col min="11" max="11" width="6.21875" style="287" hidden="1" customWidth="1"/>
    <col min="12" max="12" width="7.109375" style="287" hidden="1" customWidth="1"/>
    <col min="13" max="13" width="4.77734375" style="288" hidden="1" customWidth="1"/>
    <col min="14" max="14" width="27.5546875" style="287" hidden="1" customWidth="1"/>
    <col min="15" max="15" width="12.109375" style="271" hidden="1" customWidth="1"/>
    <col min="16" max="16" width="12" style="287" hidden="1" customWidth="1"/>
    <col min="17" max="17" width="4.44140625" style="288" hidden="1" customWidth="1"/>
    <col min="18" max="18" width="10.109375" style="287" hidden="1" customWidth="1"/>
    <col min="19" max="19" width="7.21875" style="287" hidden="1" customWidth="1"/>
    <col min="20" max="20" width="13" style="287" hidden="1" customWidth="1"/>
    <col min="21" max="21" width="4" style="288" hidden="1" customWidth="1"/>
    <col min="22" max="23" width="10.33203125" style="287" hidden="1" customWidth="1"/>
    <col min="24" max="24" width="4.33203125" style="288" hidden="1" customWidth="1"/>
    <col min="25" max="25" width="20.6640625" style="287" hidden="1" customWidth="1"/>
    <col min="26" max="27" width="10" style="287" hidden="1" customWidth="1"/>
    <col min="28" max="28" width="17.6640625" style="287" hidden="1" customWidth="1"/>
    <col min="29" max="29" width="12.21875" style="287" hidden="1" customWidth="1"/>
    <col min="30" max="31" width="15.109375" style="287" hidden="1" customWidth="1"/>
    <col min="32" max="78" width="8.88671875" style="287" hidden="1" customWidth="1"/>
    <col min="79" max="16384" width="8.88671875" style="287"/>
  </cols>
  <sheetData>
    <row r="1" spans="2:34" ht="12.75" thickBot="1" x14ac:dyDescent="0.25">
      <c r="B1" s="286" t="s">
        <v>69</v>
      </c>
      <c r="D1" s="1538" t="s">
        <v>72</v>
      </c>
      <c r="E1" s="1538"/>
      <c r="F1" s="289"/>
      <c r="K1" s="1538" t="s">
        <v>70</v>
      </c>
      <c r="L1" s="1538"/>
      <c r="N1" s="1538" t="s">
        <v>71</v>
      </c>
      <c r="O1" s="1538"/>
      <c r="Y1" s="290" t="s">
        <v>76</v>
      </c>
      <c r="Z1" s="290"/>
      <c r="AA1" s="290"/>
      <c r="AB1" s="395"/>
      <c r="AC1" s="290" t="s">
        <v>77</v>
      </c>
      <c r="AD1" s="290"/>
    </row>
    <row r="2" spans="2:34" ht="36" x14ac:dyDescent="0.2">
      <c r="C2" s="292"/>
      <c r="D2" s="291" t="s">
        <v>1</v>
      </c>
      <c r="E2" s="291" t="s">
        <v>67</v>
      </c>
      <c r="F2" s="274" t="s">
        <v>168</v>
      </c>
      <c r="G2" s="292"/>
      <c r="H2" s="291" t="s">
        <v>2</v>
      </c>
      <c r="I2" s="291" t="s">
        <v>73</v>
      </c>
      <c r="J2" s="292"/>
      <c r="K2" s="291" t="s">
        <v>40</v>
      </c>
      <c r="L2" s="291" t="s">
        <v>66</v>
      </c>
      <c r="M2" s="292"/>
      <c r="N2" s="291" t="s">
        <v>3</v>
      </c>
      <c r="O2" s="273" t="s">
        <v>173</v>
      </c>
      <c r="P2" s="291" t="s">
        <v>55</v>
      </c>
      <c r="Q2" s="292"/>
      <c r="R2" s="291" t="s">
        <v>14</v>
      </c>
      <c r="S2" s="291" t="s">
        <v>25</v>
      </c>
      <c r="T2" s="291" t="s">
        <v>15</v>
      </c>
      <c r="U2" s="292"/>
      <c r="V2" s="291" t="s">
        <v>16</v>
      </c>
      <c r="W2" s="291" t="s">
        <v>68</v>
      </c>
      <c r="X2" s="292"/>
      <c r="Y2" s="291" t="s">
        <v>26</v>
      </c>
      <c r="Z2" s="273" t="s">
        <v>271</v>
      </c>
      <c r="AA2" s="273"/>
      <c r="AB2" s="395"/>
      <c r="AC2" s="273" t="s">
        <v>39</v>
      </c>
      <c r="AD2" s="273" t="s">
        <v>272</v>
      </c>
      <c r="AE2" s="293" t="s">
        <v>83</v>
      </c>
      <c r="AF2" s="294" t="s">
        <v>73</v>
      </c>
      <c r="AG2" s="275" t="s">
        <v>237</v>
      </c>
      <c r="AH2" s="275" t="s">
        <v>242</v>
      </c>
    </row>
    <row r="3" spans="2:34" x14ac:dyDescent="0.2">
      <c r="C3" s="292"/>
      <c r="D3" s="295"/>
      <c r="E3" s="295"/>
      <c r="F3" s="295"/>
      <c r="G3" s="292"/>
      <c r="H3" s="300" t="s">
        <v>74</v>
      </c>
      <c r="I3" s="373" t="s">
        <v>115</v>
      </c>
      <c r="J3" s="292"/>
      <c r="K3" s="295"/>
      <c r="L3" s="295"/>
      <c r="M3" s="292"/>
      <c r="N3" s="295"/>
      <c r="O3" s="274"/>
      <c r="P3" s="295"/>
      <c r="Q3" s="292"/>
      <c r="R3" s="295"/>
      <c r="S3" s="295"/>
      <c r="T3" s="295"/>
      <c r="U3" s="292"/>
      <c r="V3" s="295"/>
      <c r="W3" s="295"/>
      <c r="X3" s="292"/>
      <c r="Y3" s="295"/>
      <c r="Z3" s="285"/>
      <c r="AA3" s="285"/>
      <c r="AB3" s="395"/>
      <c r="AC3" s="295"/>
      <c r="AD3" s="357"/>
      <c r="AE3" s="296"/>
      <c r="AF3" s="297"/>
      <c r="AG3" s="275"/>
      <c r="AH3" s="275"/>
    </row>
    <row r="4" spans="2:34" ht="15" customHeight="1" x14ac:dyDescent="0.2">
      <c r="B4" s="287">
        <v>1</v>
      </c>
      <c r="C4" s="139"/>
      <c r="D4" s="7" t="s">
        <v>49</v>
      </c>
      <c r="E4" s="140">
        <v>0</v>
      </c>
      <c r="F4" s="141" t="s">
        <v>170</v>
      </c>
      <c r="G4" s="141"/>
      <c r="H4" s="201" t="s">
        <v>84</v>
      </c>
      <c r="I4" s="202">
        <v>148</v>
      </c>
      <c r="J4" s="143"/>
      <c r="K4" s="142" t="s">
        <v>64</v>
      </c>
      <c r="L4" s="144"/>
      <c r="M4" s="143"/>
      <c r="N4" s="7" t="s">
        <v>4</v>
      </c>
      <c r="O4" s="276">
        <v>0</v>
      </c>
      <c r="P4" s="140">
        <v>2</v>
      </c>
      <c r="Q4" s="141"/>
      <c r="R4" s="140" t="s">
        <v>17</v>
      </c>
      <c r="S4" s="140">
        <v>1</v>
      </c>
      <c r="T4" s="7" t="s">
        <v>195</v>
      </c>
      <c r="U4" s="141"/>
      <c r="V4" s="7" t="s">
        <v>38</v>
      </c>
      <c r="W4" s="298">
        <v>0</v>
      </c>
      <c r="X4" s="141"/>
      <c r="Y4" s="301" t="s">
        <v>223</v>
      </c>
      <c r="AA4" s="360">
        <v>6</v>
      </c>
      <c r="AB4" s="395"/>
      <c r="AC4" s="280" t="s">
        <v>207</v>
      </c>
      <c r="AD4" s="359">
        <v>0</v>
      </c>
      <c r="AE4" s="277" t="s">
        <v>131</v>
      </c>
      <c r="AF4" s="299">
        <v>0</v>
      </c>
      <c r="AG4" s="585" t="s">
        <v>457</v>
      </c>
      <c r="AH4" s="212">
        <v>3.75</v>
      </c>
    </row>
    <row r="5" spans="2:34" ht="15" customHeight="1" x14ac:dyDescent="0.2">
      <c r="B5" s="287">
        <f t="shared" ref="B5:B15" si="0">SUM(B4+1)</f>
        <v>2</v>
      </c>
      <c r="C5" s="139"/>
      <c r="D5" s="7" t="s">
        <v>832</v>
      </c>
      <c r="E5" s="140">
        <v>0</v>
      </c>
      <c r="F5" s="141" t="s">
        <v>171</v>
      </c>
      <c r="G5" s="141"/>
      <c r="H5" s="201" t="s">
        <v>86</v>
      </c>
      <c r="I5" s="202">
        <v>148</v>
      </c>
      <c r="J5" s="143"/>
      <c r="K5" s="142"/>
      <c r="L5" s="144"/>
      <c r="M5" s="143"/>
      <c r="N5" s="7" t="s">
        <v>6</v>
      </c>
      <c r="O5" s="276">
        <v>0</v>
      </c>
      <c r="P5" s="140">
        <v>1</v>
      </c>
      <c r="Q5" s="141"/>
      <c r="R5" s="140" t="s">
        <v>18</v>
      </c>
      <c r="S5" s="140">
        <v>1</v>
      </c>
      <c r="T5" s="7" t="s">
        <v>196</v>
      </c>
      <c r="U5" s="141"/>
      <c r="V5" s="7" t="s">
        <v>28</v>
      </c>
      <c r="W5" s="298">
        <v>0</v>
      </c>
      <c r="X5" s="141"/>
      <c r="Y5" s="301" t="s">
        <v>224</v>
      </c>
      <c r="AA5" s="361">
        <v>10</v>
      </c>
      <c r="AB5" s="395"/>
      <c r="AC5" s="280" t="s">
        <v>853</v>
      </c>
      <c r="AD5" s="359">
        <v>9</v>
      </c>
      <c r="AG5" s="585" t="s">
        <v>458</v>
      </c>
      <c r="AH5" s="212">
        <v>3.75</v>
      </c>
    </row>
    <row r="6" spans="2:34" ht="15" customHeight="1" x14ac:dyDescent="0.2">
      <c r="B6" s="287">
        <f t="shared" si="0"/>
        <v>3</v>
      </c>
      <c r="C6" s="139"/>
      <c r="D6" s="638" t="s">
        <v>716</v>
      </c>
      <c r="E6" s="639">
        <v>0</v>
      </c>
      <c r="F6" s="550" t="s">
        <v>171</v>
      </c>
      <c r="G6" s="141"/>
      <c r="H6" s="201" t="s">
        <v>87</v>
      </c>
      <c r="I6" s="202">
        <v>148</v>
      </c>
      <c r="J6" s="143"/>
      <c r="K6" s="142"/>
      <c r="L6" s="142"/>
      <c r="M6" s="143"/>
      <c r="N6" s="7" t="s">
        <v>5</v>
      </c>
      <c r="O6" s="276">
        <v>0</v>
      </c>
      <c r="P6" s="140">
        <v>1</v>
      </c>
      <c r="Q6" s="141"/>
      <c r="R6" s="140" t="s">
        <v>19</v>
      </c>
      <c r="S6" s="140">
        <v>2</v>
      </c>
      <c r="T6" s="7" t="s">
        <v>199</v>
      </c>
      <c r="U6" s="141"/>
      <c r="V6" s="7" t="s">
        <v>88</v>
      </c>
      <c r="W6" s="298">
        <v>0</v>
      </c>
      <c r="X6" s="141"/>
      <c r="Y6" s="200" t="s">
        <v>220</v>
      </c>
      <c r="AA6" s="361">
        <v>11.5</v>
      </c>
      <c r="AB6" s="395"/>
      <c r="AC6" s="280" t="s">
        <v>852</v>
      </c>
      <c r="AD6" s="359">
        <v>6</v>
      </c>
      <c r="AG6" s="585" t="s">
        <v>459</v>
      </c>
      <c r="AH6" s="212">
        <v>3.75</v>
      </c>
    </row>
    <row r="7" spans="2:34" ht="15" customHeight="1" x14ac:dyDescent="0.2">
      <c r="B7" s="287">
        <f>SUM(B6+1)</f>
        <v>4</v>
      </c>
      <c r="C7" s="139"/>
      <c r="D7" s="638" t="s">
        <v>50</v>
      </c>
      <c r="E7" s="639">
        <v>0</v>
      </c>
      <c r="F7" s="550" t="str">
        <f ca="1">IF(TODAY()&gt;40633,"All","Full")</f>
        <v>All</v>
      </c>
      <c r="G7" s="141"/>
      <c r="H7" s="201" t="s">
        <v>89</v>
      </c>
      <c r="I7" s="202">
        <v>148</v>
      </c>
      <c r="J7" s="143"/>
      <c r="K7" s="142"/>
      <c r="L7" s="142"/>
      <c r="M7" s="143"/>
      <c r="N7" s="7" t="s">
        <v>175</v>
      </c>
      <c r="O7" s="298">
        <v>39</v>
      </c>
      <c r="P7" s="7">
        <v>1</v>
      </c>
      <c r="Q7" s="141"/>
      <c r="R7" s="140" t="s">
        <v>20</v>
      </c>
      <c r="S7" s="140">
        <v>2</v>
      </c>
      <c r="T7" s="7" t="s">
        <v>197</v>
      </c>
      <c r="U7" s="141"/>
      <c r="V7" s="140" t="s">
        <v>37</v>
      </c>
      <c r="W7" s="298">
        <v>0</v>
      </c>
      <c r="X7" s="141"/>
      <c r="Y7" s="200" t="s">
        <v>482</v>
      </c>
      <c r="AA7" s="361">
        <v>8</v>
      </c>
      <c r="AB7" s="395"/>
      <c r="AC7" s="280" t="s">
        <v>231</v>
      </c>
      <c r="AD7" s="359">
        <v>24</v>
      </c>
      <c r="AG7" s="585" t="s">
        <v>460</v>
      </c>
      <c r="AH7" s="212">
        <v>3.75</v>
      </c>
    </row>
    <row r="8" spans="2:34" ht="15" customHeight="1" x14ac:dyDescent="0.2">
      <c r="B8" s="287">
        <f t="shared" si="0"/>
        <v>5</v>
      </c>
      <c r="C8" s="139"/>
      <c r="D8" s="638" t="s">
        <v>75</v>
      </c>
      <c r="E8" s="639">
        <v>0</v>
      </c>
      <c r="F8" s="550" t="s">
        <v>171</v>
      </c>
      <c r="G8" s="141"/>
      <c r="H8" s="201" t="s">
        <v>90</v>
      </c>
      <c r="I8" s="202">
        <v>148</v>
      </c>
      <c r="J8" s="143"/>
      <c r="K8" s="142"/>
      <c r="L8" s="142"/>
      <c r="M8" s="143"/>
      <c r="N8" s="7" t="s">
        <v>176</v>
      </c>
      <c r="O8" s="298">
        <v>39</v>
      </c>
      <c r="P8" s="7">
        <v>1</v>
      </c>
      <c r="Q8" s="141"/>
      <c r="R8" s="140" t="s">
        <v>21</v>
      </c>
      <c r="S8" s="140">
        <v>2</v>
      </c>
      <c r="T8" s="7" t="s">
        <v>198</v>
      </c>
      <c r="U8" s="141"/>
      <c r="V8" s="140" t="s">
        <v>57</v>
      </c>
      <c r="W8" s="298">
        <v>0</v>
      </c>
      <c r="X8" s="141"/>
      <c r="Y8" s="301" t="s">
        <v>225</v>
      </c>
      <c r="AA8" s="361">
        <v>6</v>
      </c>
      <c r="AB8" s="395"/>
      <c r="AC8" s="280" t="s">
        <v>232</v>
      </c>
      <c r="AD8" s="359">
        <v>12.5</v>
      </c>
      <c r="AG8" s="585" t="s">
        <v>461</v>
      </c>
      <c r="AH8" s="212">
        <v>3.75</v>
      </c>
    </row>
    <row r="9" spans="2:34" ht="15" customHeight="1" x14ac:dyDescent="0.2">
      <c r="B9" s="287">
        <f t="shared" si="0"/>
        <v>6</v>
      </c>
      <c r="C9" s="139"/>
      <c r="D9" s="7" t="s">
        <v>316</v>
      </c>
      <c r="E9" s="140">
        <v>19</v>
      </c>
      <c r="F9" s="141" t="s">
        <v>169</v>
      </c>
      <c r="G9" s="141"/>
      <c r="H9" s="201" t="s">
        <v>91</v>
      </c>
      <c r="I9" s="202">
        <v>148</v>
      </c>
      <c r="J9" s="143"/>
      <c r="K9" s="142"/>
      <c r="L9" s="142"/>
      <c r="M9" s="143"/>
      <c r="N9" s="7" t="s">
        <v>177</v>
      </c>
      <c r="O9" s="298">
        <v>39</v>
      </c>
      <c r="P9" s="7">
        <v>1</v>
      </c>
      <c r="Q9" s="141"/>
      <c r="R9" s="140" t="s">
        <v>22</v>
      </c>
      <c r="S9" s="140">
        <v>3</v>
      </c>
      <c r="T9" s="7" t="s">
        <v>200</v>
      </c>
      <c r="U9" s="141"/>
      <c r="V9" s="140" t="s">
        <v>47</v>
      </c>
      <c r="W9" s="298">
        <v>0</v>
      </c>
      <c r="X9" s="141"/>
      <c r="Y9" s="301" t="s">
        <v>226</v>
      </c>
      <c r="AA9" s="361">
        <v>10</v>
      </c>
      <c r="AB9" s="395"/>
      <c r="AC9" s="280" t="s">
        <v>233</v>
      </c>
      <c r="AD9" s="359">
        <v>21</v>
      </c>
      <c r="AG9" s="283" t="s">
        <v>469</v>
      </c>
      <c r="AH9" s="212">
        <v>3.75</v>
      </c>
    </row>
    <row r="10" spans="2:34" ht="15" customHeight="1" x14ac:dyDescent="0.2">
      <c r="B10" s="287">
        <f t="shared" si="0"/>
        <v>7</v>
      </c>
      <c r="C10" s="139"/>
      <c r="D10" s="7" t="s">
        <v>317</v>
      </c>
      <c r="E10" s="140">
        <v>19</v>
      </c>
      <c r="F10" s="141" t="s">
        <v>169</v>
      </c>
      <c r="G10" s="141"/>
      <c r="H10" s="201" t="s">
        <v>92</v>
      </c>
      <c r="I10" s="202">
        <v>148</v>
      </c>
      <c r="J10" s="143"/>
      <c r="K10" s="142"/>
      <c r="L10" s="142"/>
      <c r="M10" s="143"/>
      <c r="N10" s="7" t="s">
        <v>183</v>
      </c>
      <c r="O10" s="372">
        <v>46</v>
      </c>
      <c r="P10" s="7">
        <v>1</v>
      </c>
      <c r="Q10" s="141"/>
      <c r="R10" s="140" t="s">
        <v>23</v>
      </c>
      <c r="S10" s="140">
        <v>3</v>
      </c>
      <c r="T10" s="638" t="s">
        <v>492</v>
      </c>
      <c r="U10" s="141"/>
      <c r="V10" s="140" t="s">
        <v>334</v>
      </c>
      <c r="W10" s="298">
        <v>0</v>
      </c>
      <c r="X10" s="141"/>
      <c r="Y10" s="200" t="s">
        <v>227</v>
      </c>
      <c r="AA10" s="361">
        <v>11.5</v>
      </c>
      <c r="AB10" s="395"/>
      <c r="AC10" s="280" t="s">
        <v>330</v>
      </c>
      <c r="AD10" s="359">
        <v>21</v>
      </c>
      <c r="AG10" s="283" t="s">
        <v>470</v>
      </c>
      <c r="AH10" s="212">
        <v>3.75</v>
      </c>
    </row>
    <row r="11" spans="2:34" ht="15" customHeight="1" x14ac:dyDescent="0.2">
      <c r="B11" s="287">
        <f t="shared" si="0"/>
        <v>8</v>
      </c>
      <c r="C11" s="139"/>
      <c r="D11" s="7" t="s">
        <v>835</v>
      </c>
      <c r="E11" s="140">
        <v>19</v>
      </c>
      <c r="F11" s="141" t="s">
        <v>169</v>
      </c>
      <c r="G11" s="141"/>
      <c r="H11" s="201" t="s">
        <v>93</v>
      </c>
      <c r="I11" s="202">
        <v>148</v>
      </c>
      <c r="J11" s="143"/>
      <c r="K11" s="142"/>
      <c r="L11" s="142"/>
      <c r="M11" s="143"/>
      <c r="N11" s="7" t="s">
        <v>182</v>
      </c>
      <c r="O11" s="372">
        <v>46</v>
      </c>
      <c r="P11" s="7">
        <v>1</v>
      </c>
      <c r="Q11" s="141"/>
      <c r="R11" s="140" t="s">
        <v>24</v>
      </c>
      <c r="S11" s="140">
        <v>4</v>
      </c>
      <c r="T11" s="638" t="s">
        <v>493</v>
      </c>
      <c r="U11" s="141"/>
      <c r="V11" s="140" t="s">
        <v>333</v>
      </c>
      <c r="W11" s="298">
        <v>5.5</v>
      </c>
      <c r="X11" s="141"/>
      <c r="Y11" s="200" t="s">
        <v>273</v>
      </c>
      <c r="Z11" s="200"/>
      <c r="AA11" s="361">
        <v>7.5</v>
      </c>
      <c r="AB11" s="395"/>
      <c r="AC11" s="280" t="s">
        <v>234</v>
      </c>
      <c r="AD11" s="359">
        <v>12.5</v>
      </c>
      <c r="AG11" s="585" t="s">
        <v>462</v>
      </c>
      <c r="AH11" s="212">
        <v>3.75</v>
      </c>
    </row>
    <row r="12" spans="2:34" ht="15" customHeight="1" x14ac:dyDescent="0.2">
      <c r="B12" s="287">
        <f t="shared" si="0"/>
        <v>9</v>
      </c>
      <c r="C12" s="139"/>
      <c r="D12" s="7" t="s">
        <v>836</v>
      </c>
      <c r="E12" s="140">
        <v>19</v>
      </c>
      <c r="F12" s="141" t="s">
        <v>169</v>
      </c>
      <c r="G12" s="141"/>
      <c r="H12" s="201" t="s">
        <v>94</v>
      </c>
      <c r="I12" s="202">
        <v>148</v>
      </c>
      <c r="J12" s="143"/>
      <c r="K12" s="142"/>
      <c r="L12" s="142"/>
      <c r="M12" s="143"/>
      <c r="N12" s="7" t="s">
        <v>184</v>
      </c>
      <c r="O12" s="372">
        <v>46</v>
      </c>
      <c r="P12" s="7">
        <v>1</v>
      </c>
      <c r="Q12" s="141"/>
      <c r="R12" s="140"/>
      <c r="S12" s="140"/>
      <c r="T12" s="654" t="s">
        <v>494</v>
      </c>
      <c r="U12" s="141"/>
      <c r="V12" s="551" t="s">
        <v>58</v>
      </c>
      <c r="W12" s="553">
        <v>11</v>
      </c>
      <c r="X12" s="141"/>
      <c r="Y12" s="200" t="s">
        <v>828</v>
      </c>
      <c r="AA12" s="361">
        <v>11.5</v>
      </c>
      <c r="AB12" s="395"/>
      <c r="AC12" s="280" t="s">
        <v>436</v>
      </c>
      <c r="AD12" s="359">
        <v>12.5</v>
      </c>
      <c r="AG12" s="585" t="s">
        <v>463</v>
      </c>
      <c r="AH12" s="212">
        <v>3.75</v>
      </c>
    </row>
    <row r="13" spans="2:34" ht="15" customHeight="1" x14ac:dyDescent="0.2">
      <c r="B13" s="287">
        <f t="shared" si="0"/>
        <v>10</v>
      </c>
      <c r="C13" s="139"/>
      <c r="D13" s="7" t="s">
        <v>720</v>
      </c>
      <c r="E13" s="140">
        <v>19</v>
      </c>
      <c r="F13" s="141" t="s">
        <v>169</v>
      </c>
      <c r="G13" s="141"/>
      <c r="H13" s="201" t="s">
        <v>95</v>
      </c>
      <c r="I13" s="202">
        <v>148</v>
      </c>
      <c r="J13" s="143"/>
      <c r="K13" s="142"/>
      <c r="L13" s="142"/>
      <c r="M13" s="143"/>
      <c r="N13" s="7" t="s">
        <v>185</v>
      </c>
      <c r="O13" s="372">
        <v>55</v>
      </c>
      <c r="P13" s="7">
        <v>1</v>
      </c>
      <c r="Q13" s="141"/>
      <c r="R13" s="140"/>
      <c r="S13" s="140"/>
      <c r="T13" s="140"/>
      <c r="U13" s="141"/>
      <c r="V13" s="140"/>
      <c r="W13" s="140"/>
      <c r="X13" s="141"/>
      <c r="Y13" s="200" t="s">
        <v>212</v>
      </c>
      <c r="AA13" s="361">
        <v>8</v>
      </c>
      <c r="AB13" s="395"/>
      <c r="AC13" s="280" t="s">
        <v>498</v>
      </c>
      <c r="AD13" s="359">
        <v>21.5</v>
      </c>
      <c r="AG13" s="585" t="s">
        <v>241</v>
      </c>
      <c r="AH13" s="212">
        <v>3.75</v>
      </c>
    </row>
    <row r="14" spans="2:34" ht="15" customHeight="1" x14ac:dyDescent="0.2">
      <c r="B14" s="287">
        <f t="shared" si="0"/>
        <v>11</v>
      </c>
      <c r="C14" s="139"/>
      <c r="D14" s="7" t="s">
        <v>721</v>
      </c>
      <c r="E14" s="140">
        <v>19</v>
      </c>
      <c r="F14" s="141" t="s">
        <v>169</v>
      </c>
      <c r="G14" s="141"/>
      <c r="H14" s="201" t="s">
        <v>96</v>
      </c>
      <c r="I14" s="202">
        <v>148</v>
      </c>
      <c r="J14" s="143"/>
      <c r="K14" s="142"/>
      <c r="L14" s="142"/>
      <c r="M14" s="143"/>
      <c r="N14" s="7" t="s">
        <v>186</v>
      </c>
      <c r="O14" s="372">
        <v>55</v>
      </c>
      <c r="P14" s="7">
        <v>1</v>
      </c>
      <c r="Q14" s="141"/>
      <c r="R14" s="140"/>
      <c r="S14" s="140"/>
      <c r="T14" s="140"/>
      <c r="U14" s="141"/>
      <c r="V14" s="140"/>
      <c r="W14" s="140"/>
      <c r="X14" s="141"/>
      <c r="Y14" s="200" t="s">
        <v>221</v>
      </c>
      <c r="Z14" s="356"/>
      <c r="AA14" s="361">
        <v>11.5</v>
      </c>
      <c r="AB14" s="140"/>
      <c r="AC14" s="280" t="s">
        <v>847</v>
      </c>
      <c r="AD14" s="359">
        <v>21.5</v>
      </c>
      <c r="AG14" s="585" t="s">
        <v>240</v>
      </c>
      <c r="AH14" s="212">
        <v>7</v>
      </c>
    </row>
    <row r="15" spans="2:34" ht="15" customHeight="1" thickBot="1" x14ac:dyDescent="0.25">
      <c r="B15" s="287">
        <f t="shared" si="0"/>
        <v>12</v>
      </c>
      <c r="C15" s="139"/>
      <c r="D15" s="7" t="s">
        <v>318</v>
      </c>
      <c r="E15" s="140">
        <v>19</v>
      </c>
      <c r="F15" s="141" t="s">
        <v>169</v>
      </c>
      <c r="G15" s="141"/>
      <c r="H15" s="201" t="s">
        <v>97</v>
      </c>
      <c r="I15" s="202">
        <v>148</v>
      </c>
      <c r="J15" s="143"/>
      <c r="K15" s="142"/>
      <c r="L15" s="142"/>
      <c r="M15" s="143"/>
      <c r="N15" s="7" t="s">
        <v>187</v>
      </c>
      <c r="O15" s="372">
        <v>55</v>
      </c>
      <c r="P15" s="7">
        <v>1</v>
      </c>
      <c r="Q15" s="141"/>
      <c r="R15" s="140"/>
      <c r="S15" s="140"/>
      <c r="T15" s="140"/>
      <c r="U15" s="141"/>
      <c r="V15" s="140"/>
      <c r="W15" s="140"/>
      <c r="X15" s="141"/>
      <c r="Y15" s="200" t="s">
        <v>830</v>
      </c>
      <c r="AA15" s="361">
        <v>12.5</v>
      </c>
      <c r="AB15" s="140"/>
      <c r="AC15" s="358"/>
      <c r="AG15" s="585" t="s">
        <v>464</v>
      </c>
      <c r="AH15" s="212">
        <v>7</v>
      </c>
    </row>
    <row r="16" spans="2:34" ht="15" customHeight="1" x14ac:dyDescent="0.2">
      <c r="C16" s="139"/>
      <c r="D16" s="7" t="s">
        <v>319</v>
      </c>
      <c r="E16" s="140">
        <v>19</v>
      </c>
      <c r="F16" s="141" t="s">
        <v>169</v>
      </c>
      <c r="G16" s="141"/>
      <c r="H16" s="201" t="s">
        <v>98</v>
      </c>
      <c r="I16" s="202">
        <v>148</v>
      </c>
      <c r="J16" s="143"/>
      <c r="K16" s="142"/>
      <c r="L16" s="142"/>
      <c r="M16" s="143"/>
      <c r="N16" s="7" t="s">
        <v>342</v>
      </c>
      <c r="O16" s="276">
        <v>39</v>
      </c>
      <c r="P16" s="7">
        <v>1</v>
      </c>
      <c r="Q16" s="141"/>
      <c r="R16" s="140"/>
      <c r="S16" s="140"/>
      <c r="T16" s="436" t="s">
        <v>604</v>
      </c>
      <c r="U16" s="141"/>
      <c r="V16" s="140"/>
      <c r="W16" s="140"/>
      <c r="X16" s="141"/>
      <c r="Y16" s="200" t="s">
        <v>230</v>
      </c>
      <c r="AA16" s="361">
        <v>4</v>
      </c>
      <c r="AB16" s="140"/>
      <c r="AC16" s="358"/>
      <c r="AG16" s="585" t="s">
        <v>465</v>
      </c>
      <c r="AH16" s="212">
        <v>7</v>
      </c>
    </row>
    <row r="17" spans="3:34" ht="15" customHeight="1" thickBot="1" x14ac:dyDescent="0.25">
      <c r="C17" s="139"/>
      <c r="D17" s="7" t="s">
        <v>320</v>
      </c>
      <c r="E17" s="140">
        <v>19</v>
      </c>
      <c r="F17" s="141" t="s">
        <v>169</v>
      </c>
      <c r="G17" s="141"/>
      <c r="H17" s="201" t="s">
        <v>99</v>
      </c>
      <c r="I17" s="202">
        <v>148</v>
      </c>
      <c r="J17" s="143"/>
      <c r="K17" s="142"/>
      <c r="L17" s="142"/>
      <c r="M17" s="143"/>
      <c r="N17" s="7" t="s">
        <v>343</v>
      </c>
      <c r="O17" s="276">
        <v>39</v>
      </c>
      <c r="P17" s="7">
        <v>1</v>
      </c>
      <c r="Q17" s="141"/>
      <c r="R17" s="140"/>
      <c r="S17" s="140"/>
      <c r="T17" s="206" t="s">
        <v>195</v>
      </c>
      <c r="U17" s="141"/>
      <c r="V17" s="140"/>
      <c r="W17" s="140"/>
      <c r="X17" s="141"/>
      <c r="Y17" s="301" t="s">
        <v>228</v>
      </c>
      <c r="AA17" s="361">
        <v>6</v>
      </c>
      <c r="AB17" s="140"/>
      <c r="AC17" s="395"/>
      <c r="AG17" s="212" t="s">
        <v>239</v>
      </c>
      <c r="AH17" s="212">
        <v>7475</v>
      </c>
    </row>
    <row r="18" spans="3:34" ht="15" customHeight="1" x14ac:dyDescent="0.2">
      <c r="C18" s="139"/>
      <c r="D18" s="7" t="s">
        <v>321</v>
      </c>
      <c r="E18" s="140">
        <v>19</v>
      </c>
      <c r="F18" s="141" t="s">
        <v>169</v>
      </c>
      <c r="G18" s="141"/>
      <c r="H18" s="201" t="s">
        <v>385</v>
      </c>
      <c r="I18" s="202">
        <v>148</v>
      </c>
      <c r="J18" s="143"/>
      <c r="K18" s="142"/>
      <c r="L18" s="142"/>
      <c r="M18" s="143"/>
      <c r="N18" s="7" t="s">
        <v>344</v>
      </c>
      <c r="O18" s="276">
        <v>39</v>
      </c>
      <c r="P18" s="7">
        <v>1</v>
      </c>
      <c r="Q18" s="141"/>
      <c r="R18" s="273" t="s">
        <v>345</v>
      </c>
      <c r="S18" s="273"/>
      <c r="T18" s="207" t="s">
        <v>196</v>
      </c>
      <c r="U18" s="141"/>
      <c r="V18" s="140"/>
      <c r="W18" s="140"/>
      <c r="X18" s="141"/>
      <c r="Y18" s="301" t="s">
        <v>229</v>
      </c>
      <c r="AA18" s="361">
        <v>10</v>
      </c>
      <c r="AB18" s="616"/>
      <c r="AC18" s="395"/>
      <c r="AG18" s="212" t="s">
        <v>467</v>
      </c>
      <c r="AH18" s="212">
        <v>4</v>
      </c>
    </row>
    <row r="19" spans="3:34" ht="15" customHeight="1" x14ac:dyDescent="0.2">
      <c r="C19" s="139"/>
      <c r="D19" s="7" t="s">
        <v>312</v>
      </c>
      <c r="E19" s="140">
        <v>19</v>
      </c>
      <c r="F19" s="141" t="s">
        <v>169</v>
      </c>
      <c r="G19" s="141"/>
      <c r="H19" s="201" t="s">
        <v>441</v>
      </c>
      <c r="I19" s="202">
        <v>148</v>
      </c>
      <c r="J19" s="143"/>
      <c r="K19" s="142"/>
      <c r="L19" s="142"/>
      <c r="M19" s="143"/>
      <c r="N19" s="7" t="s">
        <v>619</v>
      </c>
      <c r="O19" s="7" t="s">
        <v>115</v>
      </c>
      <c r="P19" s="140"/>
      <c r="Q19" s="141"/>
      <c r="R19" s="7" t="s">
        <v>346</v>
      </c>
      <c r="S19" s="7">
        <v>4</v>
      </c>
      <c r="T19" s="207" t="s">
        <v>197</v>
      </c>
      <c r="U19" s="141"/>
      <c r="V19" s="140"/>
      <c r="W19" s="140"/>
      <c r="X19" s="141"/>
      <c r="Y19" s="200" t="s">
        <v>211</v>
      </c>
      <c r="AA19" s="361">
        <v>11.5</v>
      </c>
      <c r="AB19" s="616"/>
      <c r="AC19" s="395"/>
      <c r="AG19" s="212" t="s">
        <v>483</v>
      </c>
      <c r="AH19" s="212">
        <v>7</v>
      </c>
    </row>
    <row r="20" spans="3:34" ht="15" customHeight="1" x14ac:dyDescent="0.2">
      <c r="C20" s="139"/>
      <c r="D20" s="7" t="s">
        <v>313</v>
      </c>
      <c r="E20" s="140">
        <v>19</v>
      </c>
      <c r="F20" s="141" t="s">
        <v>169</v>
      </c>
      <c r="G20" s="141"/>
      <c r="H20" s="201" t="s">
        <v>442</v>
      </c>
      <c r="I20" s="202">
        <v>148</v>
      </c>
      <c r="J20" s="143"/>
      <c r="K20" s="142"/>
      <c r="L20" s="142"/>
      <c r="M20" s="143"/>
      <c r="N20" s="7" t="s">
        <v>620</v>
      </c>
      <c r="O20" s="7" t="s">
        <v>115</v>
      </c>
      <c r="P20" s="140"/>
      <c r="Q20" s="141"/>
      <c r="R20" s="7" t="s">
        <v>425</v>
      </c>
      <c r="S20" s="7">
        <v>2</v>
      </c>
      <c r="T20" s="207" t="s">
        <v>198</v>
      </c>
      <c r="U20" s="141"/>
      <c r="V20" s="140"/>
      <c r="W20" s="140"/>
      <c r="X20" s="484"/>
      <c r="Y20" s="615" t="s">
        <v>831</v>
      </c>
      <c r="Z20" s="616"/>
      <c r="AA20" s="617">
        <v>11.5</v>
      </c>
      <c r="AB20" s="616"/>
      <c r="AC20" s="395"/>
      <c r="AG20" s="212" t="s">
        <v>437</v>
      </c>
      <c r="AH20" s="212">
        <v>3.75</v>
      </c>
    </row>
    <row r="21" spans="3:34" ht="15" customHeight="1" x14ac:dyDescent="0.2">
      <c r="C21" s="139"/>
      <c r="D21" s="7" t="s">
        <v>844</v>
      </c>
      <c r="E21" s="140">
        <v>19</v>
      </c>
      <c r="F21" s="141" t="s">
        <v>169</v>
      </c>
      <c r="G21" s="141"/>
      <c r="H21" s="201" t="s">
        <v>443</v>
      </c>
      <c r="I21" s="202">
        <v>148</v>
      </c>
      <c r="J21" s="143"/>
      <c r="K21" s="140"/>
      <c r="L21" s="140"/>
      <c r="M21" s="143"/>
      <c r="N21" s="7" t="s">
        <v>621</v>
      </c>
      <c r="O21" s="7" t="s">
        <v>115</v>
      </c>
      <c r="P21" s="140"/>
      <c r="Q21" s="141"/>
      <c r="R21" s="7" t="s">
        <v>347</v>
      </c>
      <c r="S21" s="7">
        <v>6</v>
      </c>
      <c r="T21" s="207" t="s">
        <v>492</v>
      </c>
      <c r="U21" s="141"/>
      <c r="V21" s="140"/>
      <c r="W21" s="140"/>
      <c r="X21" s="484"/>
      <c r="Y21" s="200" t="s">
        <v>829</v>
      </c>
      <c r="AA21" s="361">
        <v>12.5</v>
      </c>
      <c r="AB21" s="140"/>
      <c r="AC21" s="395"/>
      <c r="AG21" s="212" t="s">
        <v>244</v>
      </c>
      <c r="AH21" s="212">
        <v>7475</v>
      </c>
    </row>
    <row r="22" spans="3:34" ht="15" customHeight="1" x14ac:dyDescent="0.2">
      <c r="C22" s="139"/>
      <c r="D22" s="7" t="s">
        <v>834</v>
      </c>
      <c r="E22" s="140">
        <v>19</v>
      </c>
      <c r="F22" s="141" t="s">
        <v>169</v>
      </c>
      <c r="G22" s="141"/>
      <c r="H22" s="201" t="s">
        <v>444</v>
      </c>
      <c r="I22" s="202">
        <v>148</v>
      </c>
      <c r="J22" s="143"/>
      <c r="K22" s="140"/>
      <c r="L22" s="140"/>
      <c r="M22" s="141"/>
      <c r="N22" s="7" t="s">
        <v>622</v>
      </c>
      <c r="O22" s="7" t="s">
        <v>115</v>
      </c>
      <c r="P22" s="140"/>
      <c r="Q22" s="141"/>
      <c r="R22" s="7" t="s">
        <v>348</v>
      </c>
      <c r="S22" s="7">
        <v>6</v>
      </c>
      <c r="T22" s="207" t="s">
        <v>493</v>
      </c>
      <c r="U22" s="141"/>
      <c r="V22" s="140"/>
      <c r="W22" s="140"/>
      <c r="X22" s="484"/>
      <c r="Y22" s="481" t="s">
        <v>222</v>
      </c>
      <c r="AA22" s="483">
        <v>8</v>
      </c>
      <c r="AB22" s="485"/>
      <c r="AC22" s="395"/>
    </row>
    <row r="23" spans="3:34" ht="15" customHeight="1" thickBot="1" x14ac:dyDescent="0.25">
      <c r="C23" s="139"/>
      <c r="D23" s="7" t="s">
        <v>718</v>
      </c>
      <c r="E23" s="140">
        <v>19</v>
      </c>
      <c r="F23" s="141" t="s">
        <v>169</v>
      </c>
      <c r="G23" s="141"/>
      <c r="H23" s="201" t="s">
        <v>445</v>
      </c>
      <c r="I23" s="202">
        <v>148</v>
      </c>
      <c r="J23" s="143"/>
      <c r="K23" s="140"/>
      <c r="L23" s="140"/>
      <c r="M23" s="141"/>
      <c r="N23" s="7" t="s">
        <v>623</v>
      </c>
      <c r="O23" s="7" t="s">
        <v>115</v>
      </c>
      <c r="P23" s="140"/>
      <c r="Q23" s="141"/>
      <c r="R23" s="7" t="s">
        <v>349</v>
      </c>
      <c r="S23" s="7">
        <v>8</v>
      </c>
      <c r="T23" s="140"/>
      <c r="U23" s="141"/>
      <c r="V23" s="140"/>
      <c r="W23" s="140"/>
      <c r="X23" s="484"/>
      <c r="Y23" s="474" t="s">
        <v>354</v>
      </c>
      <c r="Z23" s="475"/>
      <c r="AA23" s="476">
        <v>10</v>
      </c>
      <c r="AB23" s="486">
        <v>70</v>
      </c>
      <c r="AC23" s="358"/>
    </row>
    <row r="24" spans="3:34" ht="15" customHeight="1" x14ac:dyDescent="0.2">
      <c r="C24" s="139"/>
      <c r="D24" s="7" t="s">
        <v>719</v>
      </c>
      <c r="E24" s="140">
        <v>19</v>
      </c>
      <c r="F24" s="141" t="s">
        <v>169</v>
      </c>
      <c r="G24" s="141"/>
      <c r="H24" s="201" t="s">
        <v>446</v>
      </c>
      <c r="I24" s="202">
        <v>148</v>
      </c>
      <c r="J24" s="143"/>
      <c r="K24" s="140"/>
      <c r="L24" s="140"/>
      <c r="M24" s="141"/>
      <c r="N24" s="7" t="s">
        <v>624</v>
      </c>
      <c r="O24" s="7" t="s">
        <v>115</v>
      </c>
      <c r="P24" s="140"/>
      <c r="Q24" s="141"/>
      <c r="R24" s="7" t="s">
        <v>350</v>
      </c>
      <c r="S24" s="7">
        <v>8</v>
      </c>
      <c r="T24" s="542" t="s">
        <v>308</v>
      </c>
      <c r="U24" s="141"/>
      <c r="V24" s="140"/>
      <c r="W24" s="140"/>
      <c r="X24" s="484"/>
      <c r="Y24" s="474" t="s">
        <v>355</v>
      </c>
      <c r="Z24" s="475"/>
      <c r="AA24" s="476">
        <v>10</v>
      </c>
      <c r="AB24" s="486">
        <v>70</v>
      </c>
      <c r="AC24" s="358"/>
    </row>
    <row r="25" spans="3:34" ht="15" customHeight="1" thickBot="1" x14ac:dyDescent="0.25">
      <c r="C25" s="139"/>
      <c r="D25" s="7" t="s">
        <v>322</v>
      </c>
      <c r="E25" s="140">
        <v>19</v>
      </c>
      <c r="F25" s="141" t="s">
        <v>169</v>
      </c>
      <c r="G25" s="141"/>
      <c r="H25" s="201" t="s">
        <v>447</v>
      </c>
      <c r="I25" s="202">
        <v>148</v>
      </c>
      <c r="J25" s="143"/>
      <c r="K25" s="140"/>
      <c r="L25" s="140"/>
      <c r="M25" s="141"/>
      <c r="N25" s="7" t="s">
        <v>648</v>
      </c>
      <c r="O25" s="7" t="s">
        <v>115</v>
      </c>
      <c r="P25" s="140"/>
      <c r="Q25" s="141"/>
      <c r="R25" s="140"/>
      <c r="S25" s="140"/>
      <c r="T25" s="550" t="s">
        <v>492</v>
      </c>
      <c r="U25" s="141"/>
      <c r="V25" s="140"/>
      <c r="W25" s="140"/>
      <c r="X25" s="484"/>
      <c r="Y25" s="477" t="s">
        <v>356</v>
      </c>
      <c r="Z25" s="369"/>
      <c r="AA25" s="276">
        <v>10</v>
      </c>
      <c r="AB25" s="487">
        <v>70</v>
      </c>
      <c r="AC25" s="358"/>
    </row>
    <row r="26" spans="3:34" ht="15" customHeight="1" x14ac:dyDescent="0.2">
      <c r="C26" s="139"/>
      <c r="D26" s="7" t="s">
        <v>323</v>
      </c>
      <c r="E26" s="140">
        <v>19</v>
      </c>
      <c r="F26" s="141" t="s">
        <v>169</v>
      </c>
      <c r="G26" s="141"/>
      <c r="H26" s="201" t="s">
        <v>448</v>
      </c>
      <c r="I26" s="202">
        <v>148</v>
      </c>
      <c r="J26" s="143"/>
      <c r="K26" s="140"/>
      <c r="L26" s="140"/>
      <c r="M26" s="141"/>
      <c r="N26" s="7" t="s">
        <v>626</v>
      </c>
      <c r="O26" s="7" t="s">
        <v>115</v>
      </c>
      <c r="P26" s="140"/>
      <c r="Q26" s="141"/>
      <c r="R26" s="625" t="s">
        <v>535</v>
      </c>
      <c r="S26" s="625"/>
      <c r="T26" s="550" t="s">
        <v>493</v>
      </c>
      <c r="U26" s="141"/>
      <c r="V26" s="140"/>
      <c r="W26" s="140"/>
      <c r="X26" s="484"/>
      <c r="Y26" s="477" t="s">
        <v>357</v>
      </c>
      <c r="Z26" s="369"/>
      <c r="AA26" s="276">
        <v>10</v>
      </c>
      <c r="AB26" s="487">
        <v>70</v>
      </c>
      <c r="AC26" s="358"/>
    </row>
    <row r="27" spans="3:34" ht="15" customHeight="1" x14ac:dyDescent="0.2">
      <c r="C27" s="139"/>
      <c r="D27" s="7" t="s">
        <v>314</v>
      </c>
      <c r="E27" s="140">
        <v>19</v>
      </c>
      <c r="F27" s="141" t="s">
        <v>169</v>
      </c>
      <c r="G27" s="141"/>
      <c r="H27" s="201" t="s">
        <v>449</v>
      </c>
      <c r="I27" s="202">
        <v>148</v>
      </c>
      <c r="J27" s="143"/>
      <c r="K27" s="140"/>
      <c r="L27" s="140"/>
      <c r="M27" s="141"/>
      <c r="N27" s="7" t="s">
        <v>627</v>
      </c>
      <c r="O27" s="7" t="s">
        <v>115</v>
      </c>
      <c r="P27" s="140"/>
      <c r="Q27" s="141"/>
      <c r="R27" s="638" t="s">
        <v>538</v>
      </c>
      <c r="S27" s="638">
        <v>2</v>
      </c>
      <c r="T27" s="550"/>
      <c r="U27" s="141"/>
      <c r="V27" s="140"/>
      <c r="W27" s="140"/>
      <c r="X27" s="484"/>
      <c r="Y27" s="477" t="s">
        <v>358</v>
      </c>
      <c r="Z27" s="369"/>
      <c r="AA27" s="276">
        <v>10</v>
      </c>
      <c r="AB27" s="487">
        <v>70</v>
      </c>
      <c r="AC27" s="358"/>
    </row>
    <row r="28" spans="3:34" ht="15" customHeight="1" thickBot="1" x14ac:dyDescent="0.25">
      <c r="C28" s="139"/>
      <c r="D28" s="7" t="s">
        <v>315</v>
      </c>
      <c r="E28" s="140">
        <v>19</v>
      </c>
      <c r="F28" s="141" t="s">
        <v>169</v>
      </c>
      <c r="G28" s="141"/>
      <c r="H28" s="201" t="s">
        <v>450</v>
      </c>
      <c r="I28" s="202">
        <v>148</v>
      </c>
      <c r="J28" s="143"/>
      <c r="K28" s="140"/>
      <c r="L28" s="140"/>
      <c r="M28" s="141"/>
      <c r="N28" s="7" t="s">
        <v>628</v>
      </c>
      <c r="O28" s="7" t="s">
        <v>115</v>
      </c>
      <c r="P28" s="140"/>
      <c r="Q28" s="141"/>
      <c r="R28" s="638" t="s">
        <v>539</v>
      </c>
      <c r="S28" s="638">
        <v>2</v>
      </c>
      <c r="T28" s="140"/>
      <c r="U28" s="141"/>
      <c r="V28" s="140"/>
      <c r="W28" s="140"/>
      <c r="X28" s="141"/>
      <c r="Y28" s="477" t="s">
        <v>359</v>
      </c>
      <c r="Z28" s="369"/>
      <c r="AA28" s="276">
        <v>10</v>
      </c>
      <c r="AB28" s="487">
        <v>70</v>
      </c>
      <c r="AC28" s="358"/>
    </row>
    <row r="29" spans="3:34" ht="15" customHeight="1" x14ac:dyDescent="0.2">
      <c r="C29" s="139"/>
      <c r="D29" s="550" t="s">
        <v>839</v>
      </c>
      <c r="E29" s="140">
        <v>0</v>
      </c>
      <c r="F29" s="141" t="s">
        <v>64</v>
      </c>
      <c r="G29" s="141"/>
      <c r="H29" s="201" t="s">
        <v>451</v>
      </c>
      <c r="I29" s="202">
        <v>148</v>
      </c>
      <c r="J29" s="143"/>
      <c r="K29" s="140"/>
      <c r="L29" s="140"/>
      <c r="M29" s="141"/>
      <c r="N29" s="7" t="s">
        <v>629</v>
      </c>
      <c r="O29" s="7" t="s">
        <v>115</v>
      </c>
      <c r="P29" s="140"/>
      <c r="Q29" s="141"/>
      <c r="R29" s="638" t="s">
        <v>537</v>
      </c>
      <c r="S29" s="638">
        <v>3</v>
      </c>
      <c r="T29" s="625" t="s">
        <v>529</v>
      </c>
      <c r="U29" s="141"/>
      <c r="V29" s="140"/>
      <c r="W29" s="140"/>
      <c r="X29" s="141"/>
      <c r="Y29" s="477" t="s">
        <v>360</v>
      </c>
      <c r="Z29" s="369"/>
      <c r="AA29" s="276">
        <v>10</v>
      </c>
      <c r="AB29" s="487">
        <v>70</v>
      </c>
      <c r="AC29" s="358"/>
    </row>
    <row r="30" spans="3:34" ht="15" customHeight="1" x14ac:dyDescent="0.2">
      <c r="C30" s="139"/>
      <c r="D30" s="550" t="s">
        <v>724</v>
      </c>
      <c r="E30" s="140">
        <v>0</v>
      </c>
      <c r="F30" s="141" t="s">
        <v>64</v>
      </c>
      <c r="G30" s="141"/>
      <c r="H30" s="201" t="s">
        <v>452</v>
      </c>
      <c r="I30" s="202">
        <v>148</v>
      </c>
      <c r="J30" s="143"/>
      <c r="K30" s="140"/>
      <c r="L30" s="140"/>
      <c r="M30" s="141"/>
      <c r="N30" s="638" t="s">
        <v>635</v>
      </c>
      <c r="O30" s="7" t="s">
        <v>115</v>
      </c>
      <c r="P30" s="140"/>
      <c r="Q30" s="141"/>
      <c r="R30" s="638" t="s">
        <v>536</v>
      </c>
      <c r="S30" s="638">
        <v>3</v>
      </c>
      <c r="T30" s="639" t="s">
        <v>195</v>
      </c>
      <c r="U30" s="141"/>
      <c r="V30" s="140"/>
      <c r="W30" s="140"/>
      <c r="X30" s="141"/>
      <c r="Y30" s="477" t="s">
        <v>361</v>
      </c>
      <c r="Z30" s="369"/>
      <c r="AA30" s="276">
        <v>10</v>
      </c>
      <c r="AB30" s="487">
        <v>70</v>
      </c>
      <c r="AC30" s="358"/>
    </row>
    <row r="31" spans="3:34" ht="15" customHeight="1" x14ac:dyDescent="0.2">
      <c r="C31" s="139"/>
      <c r="D31" s="550" t="s">
        <v>300</v>
      </c>
      <c r="E31" s="140">
        <v>0</v>
      </c>
      <c r="F31" s="141" t="s">
        <v>64</v>
      </c>
      <c r="G31" s="141"/>
      <c r="H31" s="201" t="s">
        <v>453</v>
      </c>
      <c r="I31" s="202">
        <v>148</v>
      </c>
      <c r="J31" s="143"/>
      <c r="K31" s="140"/>
      <c r="L31" s="140"/>
      <c r="M31" s="141"/>
      <c r="N31" s="140"/>
      <c r="O31" s="7"/>
      <c r="P31" s="140"/>
      <c r="Q31" s="141"/>
      <c r="R31" s="638" t="s">
        <v>540</v>
      </c>
      <c r="S31" s="638">
        <v>4</v>
      </c>
      <c r="T31" s="639" t="s">
        <v>197</v>
      </c>
      <c r="U31" s="141"/>
      <c r="V31" s="140"/>
      <c r="W31" s="140"/>
      <c r="X31" s="141"/>
      <c r="Y31" s="477" t="s">
        <v>362</v>
      </c>
      <c r="Z31" s="369"/>
      <c r="AA31" s="276">
        <v>10</v>
      </c>
      <c r="AB31" s="487">
        <v>70</v>
      </c>
      <c r="AC31" s="358"/>
    </row>
    <row r="32" spans="3:34" ht="15" customHeight="1" x14ac:dyDescent="0.2">
      <c r="C32" s="139"/>
      <c r="D32" s="550" t="s">
        <v>655</v>
      </c>
      <c r="E32" s="140">
        <v>0</v>
      </c>
      <c r="F32" s="141" t="s">
        <v>64</v>
      </c>
      <c r="G32" s="141"/>
      <c r="H32" s="200" t="s">
        <v>488</v>
      </c>
      <c r="I32" s="202">
        <v>100</v>
      </c>
      <c r="J32" s="143"/>
      <c r="K32" s="140"/>
      <c r="L32" s="140"/>
      <c r="M32" s="141"/>
      <c r="N32" s="140"/>
      <c r="O32" s="7"/>
      <c r="P32" s="140"/>
      <c r="Q32" s="141"/>
      <c r="R32" s="638" t="s">
        <v>541</v>
      </c>
      <c r="S32" s="638">
        <v>4</v>
      </c>
      <c r="T32" s="639" t="s">
        <v>492</v>
      </c>
      <c r="U32" s="141"/>
      <c r="V32" s="140"/>
      <c r="W32" s="140"/>
      <c r="X32" s="141"/>
      <c r="Y32" s="477" t="s">
        <v>363</v>
      </c>
      <c r="Z32" s="369"/>
      <c r="AA32" s="276">
        <v>10</v>
      </c>
      <c r="AB32" s="487">
        <v>70</v>
      </c>
      <c r="AC32" s="358"/>
    </row>
    <row r="33" spans="3:29" ht="15" customHeight="1" x14ac:dyDescent="0.2">
      <c r="C33" s="139"/>
      <c r="D33" s="140"/>
      <c r="E33" s="140"/>
      <c r="F33" s="145"/>
      <c r="G33" s="141"/>
      <c r="H33" s="200" t="s">
        <v>490</v>
      </c>
      <c r="I33" s="202">
        <v>168</v>
      </c>
      <c r="J33" s="143"/>
      <c r="K33" s="140"/>
      <c r="L33" s="140"/>
      <c r="M33" s="141"/>
      <c r="N33" s="140"/>
      <c r="O33" s="7"/>
      <c r="P33" s="140"/>
      <c r="Q33" s="141"/>
      <c r="R33" s="638" t="s">
        <v>542</v>
      </c>
      <c r="S33" s="638">
        <v>4</v>
      </c>
      <c r="T33" s="140"/>
      <c r="U33" s="141"/>
      <c r="V33" s="140"/>
      <c r="W33" s="140"/>
      <c r="X33" s="141"/>
      <c r="Y33" s="477" t="s">
        <v>364</v>
      </c>
      <c r="Z33" s="369"/>
      <c r="AA33" s="276">
        <v>10</v>
      </c>
      <c r="AB33" s="487">
        <v>70</v>
      </c>
      <c r="AC33" s="358"/>
    </row>
    <row r="34" spans="3:29" ht="15" customHeight="1" x14ac:dyDescent="0.2">
      <c r="C34" s="139"/>
      <c r="D34" s="140"/>
      <c r="E34" s="140"/>
      <c r="F34" s="145"/>
      <c r="G34" s="141"/>
      <c r="H34" s="140"/>
      <c r="I34" s="140"/>
      <c r="J34" s="143"/>
      <c r="K34" s="140"/>
      <c r="L34" s="140"/>
      <c r="M34" s="141"/>
      <c r="N34" s="140"/>
      <c r="O34" s="7"/>
      <c r="P34" s="140"/>
      <c r="Q34" s="141"/>
      <c r="R34" s="638" t="s">
        <v>543</v>
      </c>
      <c r="S34" s="638">
        <v>4</v>
      </c>
      <c r="T34" s="140"/>
      <c r="U34" s="141"/>
      <c r="V34" s="140"/>
      <c r="W34" s="140"/>
      <c r="X34" s="141"/>
      <c r="Y34" s="477" t="s">
        <v>365</v>
      </c>
      <c r="Z34" s="369"/>
      <c r="AA34" s="276">
        <v>10</v>
      </c>
      <c r="AB34" s="487">
        <v>70</v>
      </c>
      <c r="AC34" s="358"/>
    </row>
    <row r="35" spans="3:29" ht="15" customHeight="1" x14ac:dyDescent="0.2">
      <c r="C35" s="139"/>
      <c r="D35" s="140"/>
      <c r="E35" s="140"/>
      <c r="F35" s="141"/>
      <c r="G35" s="141"/>
      <c r="J35" s="143"/>
      <c r="K35" s="140"/>
      <c r="L35" s="140"/>
      <c r="M35" s="141"/>
      <c r="N35" s="140"/>
      <c r="O35" s="7"/>
      <c r="P35" s="140"/>
      <c r="Q35" s="141"/>
      <c r="R35" s="638" t="s">
        <v>544</v>
      </c>
      <c r="S35" s="638">
        <v>6</v>
      </c>
      <c r="T35" s="140"/>
      <c r="U35" s="141"/>
      <c r="V35" s="140"/>
      <c r="W35" s="140"/>
      <c r="X35" s="141"/>
      <c r="Y35" s="477" t="s">
        <v>366</v>
      </c>
      <c r="Z35" s="369"/>
      <c r="AA35" s="276">
        <v>10</v>
      </c>
      <c r="AB35" s="487">
        <v>70</v>
      </c>
      <c r="AC35" s="358"/>
    </row>
    <row r="36" spans="3:29" ht="15" customHeight="1" thickBot="1" x14ac:dyDescent="0.25">
      <c r="C36" s="139"/>
      <c r="D36" s="140"/>
      <c r="E36" s="140"/>
      <c r="F36" s="141"/>
      <c r="G36" s="141"/>
      <c r="J36" s="143"/>
      <c r="K36" s="140"/>
      <c r="L36" s="140"/>
      <c r="M36" s="141"/>
      <c r="N36" s="140"/>
      <c r="O36" s="7"/>
      <c r="P36" s="140"/>
      <c r="Q36" s="141"/>
      <c r="R36" s="638" t="s">
        <v>545</v>
      </c>
      <c r="S36" s="638">
        <v>6</v>
      </c>
      <c r="T36" s="140"/>
      <c r="U36" s="141"/>
      <c r="V36" s="140"/>
      <c r="W36" s="140"/>
      <c r="X36" s="141"/>
      <c r="Y36" s="477" t="s">
        <v>367</v>
      </c>
      <c r="Z36" s="369"/>
      <c r="AA36" s="276">
        <v>10</v>
      </c>
      <c r="AB36" s="487">
        <v>70</v>
      </c>
      <c r="AC36" s="358"/>
    </row>
    <row r="37" spans="3:29" ht="15" customHeight="1" x14ac:dyDescent="0.2">
      <c r="D37" s="273" t="s">
        <v>267</v>
      </c>
      <c r="E37" s="140"/>
      <c r="F37" s="141"/>
      <c r="G37" s="141"/>
      <c r="J37" s="143"/>
      <c r="K37" s="140"/>
      <c r="L37" s="140"/>
      <c r="M37" s="141"/>
      <c r="N37" s="140"/>
      <c r="O37" s="7"/>
      <c r="P37" s="140"/>
      <c r="Q37" s="141"/>
      <c r="R37" s="140"/>
      <c r="S37" s="140"/>
      <c r="T37" s="140"/>
      <c r="U37" s="141"/>
      <c r="V37" s="140"/>
      <c r="W37" s="140"/>
      <c r="X37" s="141"/>
      <c r="Y37" s="478" t="s">
        <v>368</v>
      </c>
      <c r="Z37" s="479"/>
      <c r="AA37" s="480">
        <v>10</v>
      </c>
      <c r="AB37" s="488">
        <v>70</v>
      </c>
      <c r="AC37" s="358"/>
    </row>
    <row r="38" spans="3:29" ht="15" customHeight="1" x14ac:dyDescent="0.2">
      <c r="D38" s="7" t="s">
        <v>832</v>
      </c>
      <c r="E38" s="140"/>
      <c r="F38" s="141"/>
      <c r="G38" s="141"/>
      <c r="J38" s="143"/>
      <c r="K38" s="140"/>
      <c r="L38" s="140"/>
      <c r="M38" s="141"/>
      <c r="N38" s="140"/>
      <c r="O38" s="7"/>
      <c r="P38" s="140"/>
      <c r="Q38" s="141"/>
      <c r="R38" s="140"/>
      <c r="S38" s="140"/>
      <c r="T38" s="140"/>
      <c r="U38" s="141"/>
      <c r="V38" s="140"/>
      <c r="W38" s="140"/>
      <c r="X38" s="141"/>
      <c r="Y38" s="478" t="s">
        <v>369</v>
      </c>
      <c r="Z38" s="479"/>
      <c r="AA38" s="480">
        <v>10</v>
      </c>
      <c r="AB38" s="488">
        <v>70</v>
      </c>
      <c r="AC38" s="358"/>
    </row>
    <row r="39" spans="3:29" ht="15" customHeight="1" x14ac:dyDescent="0.2">
      <c r="D39" s="7" t="s">
        <v>716</v>
      </c>
      <c r="E39" s="140"/>
      <c r="F39" s="141"/>
      <c r="G39" s="141"/>
      <c r="J39" s="143"/>
      <c r="K39" s="140"/>
      <c r="L39" s="140"/>
      <c r="M39" s="141"/>
      <c r="N39" s="140"/>
      <c r="O39" s="7"/>
      <c r="P39" s="140"/>
      <c r="Q39" s="141"/>
      <c r="R39" s="140"/>
      <c r="S39" s="140"/>
      <c r="T39" s="140"/>
      <c r="U39" s="141"/>
      <c r="V39" s="140"/>
      <c r="W39" s="140"/>
      <c r="X39" s="141"/>
      <c r="Y39" s="482" t="s">
        <v>178</v>
      </c>
      <c r="Z39" s="361">
        <v>0</v>
      </c>
      <c r="AA39" s="361">
        <v>0</v>
      </c>
      <c r="AB39" s="482"/>
      <c r="AC39" s="358"/>
    </row>
    <row r="40" spans="3:29" ht="15" customHeight="1" x14ac:dyDescent="0.2">
      <c r="D40" s="7" t="s">
        <v>50</v>
      </c>
      <c r="E40" s="140"/>
      <c r="F40" s="141"/>
      <c r="G40" s="141"/>
      <c r="J40" s="143"/>
      <c r="K40" s="140"/>
      <c r="L40" s="140"/>
      <c r="M40" s="141"/>
      <c r="N40" s="140"/>
      <c r="O40" s="7"/>
      <c r="P40" s="140"/>
      <c r="Q40" s="141"/>
      <c r="R40" s="140"/>
      <c r="S40" s="140"/>
      <c r="T40" s="140"/>
      <c r="U40" s="141"/>
      <c r="V40" s="140"/>
      <c r="W40" s="140"/>
      <c r="X40" s="141"/>
      <c r="Y40" s="270" t="s">
        <v>528</v>
      </c>
      <c r="Z40" s="372">
        <v>7.5</v>
      </c>
      <c r="AA40" s="372">
        <v>7.5</v>
      </c>
      <c r="AB40" s="140"/>
      <c r="AC40" s="358"/>
    </row>
    <row r="41" spans="3:29" ht="15" customHeight="1" x14ac:dyDescent="0.2">
      <c r="D41" s="140"/>
      <c r="E41" s="140"/>
      <c r="F41" s="141"/>
      <c r="G41" s="141"/>
      <c r="H41" s="201"/>
      <c r="J41" s="143"/>
      <c r="K41" s="140"/>
      <c r="L41" s="140"/>
      <c r="M41" s="141"/>
      <c r="N41" s="140"/>
      <c r="O41" s="7"/>
      <c r="P41" s="140"/>
      <c r="Q41" s="141"/>
      <c r="R41" s="140"/>
      <c r="S41" s="140"/>
      <c r="T41" s="140"/>
      <c r="U41" s="141"/>
      <c r="V41" s="140"/>
      <c r="W41" s="140"/>
      <c r="X41" s="141"/>
      <c r="Y41" s="270" t="s">
        <v>217</v>
      </c>
      <c r="Z41" s="372">
        <v>9</v>
      </c>
      <c r="AA41" s="372">
        <v>9</v>
      </c>
      <c r="AB41" s="140"/>
      <c r="AC41" s="358"/>
    </row>
    <row r="42" spans="3:29" ht="12.75" thickBot="1" x14ac:dyDescent="0.25">
      <c r="D42" s="140"/>
      <c r="E42" s="140"/>
      <c r="F42" s="141"/>
      <c r="G42" s="141"/>
      <c r="H42" s="201"/>
      <c r="J42" s="143"/>
      <c r="K42" s="140"/>
      <c r="L42" s="140"/>
      <c r="M42" s="141"/>
      <c r="N42" s="140"/>
      <c r="O42" s="7"/>
      <c r="P42" s="140"/>
      <c r="Q42" s="141"/>
      <c r="R42" s="140"/>
      <c r="S42" s="140"/>
      <c r="T42" s="140"/>
      <c r="U42" s="141"/>
      <c r="V42" s="140"/>
      <c r="W42" s="140"/>
      <c r="X42" s="141"/>
      <c r="Y42" s="270" t="s">
        <v>179</v>
      </c>
      <c r="Z42" s="372">
        <v>10.1</v>
      </c>
      <c r="AA42" s="372">
        <v>10.1</v>
      </c>
      <c r="AB42" s="140"/>
      <c r="AC42" s="358"/>
    </row>
    <row r="43" spans="3:29" x14ac:dyDescent="0.2">
      <c r="D43" s="273" t="s">
        <v>299</v>
      </c>
      <c r="E43" s="140"/>
      <c r="F43" s="141"/>
      <c r="G43" s="141"/>
      <c r="H43" s="201"/>
      <c r="J43" s="143"/>
      <c r="K43" s="140"/>
      <c r="L43" s="140"/>
      <c r="M43" s="141"/>
      <c r="N43" s="140"/>
      <c r="O43" s="7"/>
      <c r="P43" s="140"/>
      <c r="Q43" s="141"/>
      <c r="R43" s="140"/>
      <c r="S43" s="140"/>
      <c r="T43" s="140"/>
      <c r="U43" s="141"/>
      <c r="V43" s="140"/>
      <c r="W43" s="140"/>
      <c r="X43" s="141"/>
      <c r="Y43" s="270" t="s">
        <v>180</v>
      </c>
      <c r="Z43" s="372">
        <v>12.1</v>
      </c>
      <c r="AA43" s="372">
        <v>12.1</v>
      </c>
      <c r="AB43" s="140"/>
      <c r="AC43" s="358"/>
    </row>
    <row r="44" spans="3:29" x14ac:dyDescent="0.2">
      <c r="D44" s="7" t="s">
        <v>49</v>
      </c>
      <c r="E44" s="140"/>
      <c r="F44" s="141"/>
      <c r="G44" s="141"/>
      <c r="H44" s="201"/>
      <c r="J44" s="143"/>
      <c r="K44" s="140"/>
      <c r="L44" s="140"/>
      <c r="M44" s="141"/>
      <c r="N44" s="140"/>
      <c r="O44" s="7"/>
      <c r="P44" s="140"/>
      <c r="Q44" s="141"/>
      <c r="R44" s="140"/>
      <c r="S44" s="140"/>
      <c r="T44" s="140"/>
      <c r="U44" s="141"/>
      <c r="V44" s="140"/>
      <c r="W44" s="140"/>
      <c r="X44" s="141"/>
      <c r="Y44" s="270" t="s">
        <v>181</v>
      </c>
      <c r="Z44" s="372">
        <v>13.5</v>
      </c>
      <c r="AA44" s="372">
        <v>13.5</v>
      </c>
      <c r="AB44" s="140"/>
      <c r="AC44" s="358"/>
    </row>
    <row r="45" spans="3:29" x14ac:dyDescent="0.2">
      <c r="D45" s="7" t="s">
        <v>832</v>
      </c>
      <c r="E45" s="140"/>
      <c r="F45" s="141"/>
      <c r="G45" s="141"/>
      <c r="H45" s="201"/>
      <c r="J45" s="143"/>
      <c r="K45" s="140"/>
      <c r="L45" s="140"/>
      <c r="M45" s="141"/>
      <c r="N45" s="140"/>
      <c r="O45" s="7"/>
      <c r="P45" s="140"/>
      <c r="Q45" s="141"/>
      <c r="R45" s="140"/>
      <c r="S45" s="140"/>
      <c r="T45" s="140"/>
      <c r="U45" s="141"/>
      <c r="V45" s="140"/>
      <c r="W45" s="140"/>
      <c r="X45" s="141"/>
      <c r="Y45" s="140" t="s">
        <v>296</v>
      </c>
      <c r="Z45" s="140">
        <v>0</v>
      </c>
      <c r="AA45" s="140">
        <v>0</v>
      </c>
      <c r="AB45" s="140"/>
      <c r="AC45" s="358"/>
    </row>
    <row r="46" spans="3:29" x14ac:dyDescent="0.2">
      <c r="D46" s="7" t="s">
        <v>716</v>
      </c>
      <c r="E46" s="140"/>
      <c r="F46" s="141"/>
      <c r="G46" s="141"/>
      <c r="H46" s="201"/>
      <c r="J46" s="143"/>
      <c r="K46" s="140"/>
      <c r="L46" s="140"/>
      <c r="M46" s="141"/>
      <c r="N46" s="140"/>
      <c r="O46" s="7"/>
      <c r="P46" s="140"/>
      <c r="Q46" s="141"/>
      <c r="R46" s="140"/>
      <c r="S46" s="140"/>
      <c r="T46" s="140"/>
      <c r="U46" s="141"/>
      <c r="V46" s="140"/>
      <c r="W46" s="140"/>
      <c r="X46" s="141"/>
      <c r="Y46" s="140"/>
      <c r="Z46" s="298"/>
      <c r="AA46" s="140"/>
      <c r="AB46" s="140"/>
      <c r="AC46" s="358"/>
    </row>
    <row r="47" spans="3:29" x14ac:dyDescent="0.2">
      <c r="D47" s="7" t="s">
        <v>50</v>
      </c>
      <c r="E47" s="140"/>
      <c r="F47" s="141"/>
      <c r="G47" s="141"/>
      <c r="H47" s="201"/>
      <c r="J47" s="143"/>
      <c r="K47" s="140"/>
      <c r="L47" s="140"/>
      <c r="M47" s="141"/>
      <c r="N47" s="140"/>
      <c r="O47" s="7"/>
      <c r="P47" s="140"/>
      <c r="Q47" s="141"/>
      <c r="T47" s="140"/>
      <c r="U47" s="141"/>
      <c r="V47" s="140"/>
      <c r="W47" s="140"/>
      <c r="X47" s="141"/>
      <c r="Y47" s="140"/>
      <c r="Z47" s="298"/>
      <c r="AA47" s="140"/>
      <c r="AB47" s="140"/>
      <c r="AC47" s="358"/>
    </row>
    <row r="48" spans="3:29" x14ac:dyDescent="0.2">
      <c r="D48" s="7" t="s">
        <v>75</v>
      </c>
      <c r="E48" s="140"/>
      <c r="F48" s="141"/>
      <c r="G48" s="141"/>
      <c r="H48" s="201"/>
      <c r="J48" s="143"/>
      <c r="K48" s="140"/>
      <c r="L48" s="140"/>
      <c r="M48" s="141"/>
      <c r="N48" s="140"/>
      <c r="O48" s="7"/>
      <c r="P48" s="140"/>
      <c r="Q48" s="141"/>
      <c r="T48" s="140"/>
      <c r="U48" s="141"/>
      <c r="V48" s="140"/>
      <c r="W48" s="140"/>
      <c r="X48" s="141"/>
      <c r="Y48" s="140"/>
      <c r="Z48" s="298"/>
      <c r="AA48" s="140"/>
      <c r="AB48" s="140"/>
      <c r="AC48" s="358"/>
    </row>
    <row r="49" spans="4:29" x14ac:dyDescent="0.2">
      <c r="D49" s="7" t="s">
        <v>316</v>
      </c>
      <c r="E49" s="140"/>
      <c r="F49" s="141"/>
      <c r="G49" s="141"/>
      <c r="H49" s="201"/>
      <c r="J49" s="143"/>
      <c r="K49" s="140"/>
      <c r="L49" s="140"/>
      <c r="M49" s="141"/>
      <c r="N49" s="140"/>
      <c r="O49" s="7"/>
      <c r="P49" s="140"/>
      <c r="Q49" s="141"/>
      <c r="T49" s="140"/>
      <c r="U49" s="141"/>
      <c r="V49" s="140"/>
      <c r="W49" s="140"/>
      <c r="X49" s="141"/>
      <c r="Y49" s="140"/>
      <c r="Z49" s="298"/>
      <c r="AA49" s="140"/>
      <c r="AB49" s="140"/>
      <c r="AC49" s="358"/>
    </row>
    <row r="50" spans="4:29" x14ac:dyDescent="0.2">
      <c r="D50" s="7" t="s">
        <v>317</v>
      </c>
      <c r="E50" s="140"/>
      <c r="F50" s="141"/>
      <c r="G50" s="141"/>
      <c r="H50" s="201"/>
      <c r="J50" s="143"/>
      <c r="K50" s="140"/>
      <c r="L50" s="140"/>
      <c r="M50" s="141"/>
      <c r="N50" s="140"/>
      <c r="O50" s="7"/>
      <c r="P50" s="140"/>
      <c r="Q50" s="141"/>
      <c r="T50" s="140"/>
      <c r="U50" s="141"/>
      <c r="V50" s="140"/>
      <c r="W50" s="140"/>
      <c r="X50" s="141"/>
      <c r="Y50" s="140"/>
      <c r="Z50" s="298"/>
      <c r="AA50" s="140"/>
      <c r="AB50" s="140"/>
      <c r="AC50" s="358"/>
    </row>
    <row r="51" spans="4:29" x14ac:dyDescent="0.2">
      <c r="D51" s="7" t="s">
        <v>835</v>
      </c>
      <c r="E51" s="140"/>
      <c r="F51" s="141"/>
      <c r="G51" s="141"/>
      <c r="H51" s="201"/>
      <c r="J51" s="143"/>
      <c r="K51" s="140"/>
      <c r="L51" s="140"/>
      <c r="M51" s="141"/>
      <c r="N51" s="140"/>
      <c r="O51" s="7"/>
      <c r="P51" s="140"/>
      <c r="Q51" s="141"/>
      <c r="T51" s="140"/>
      <c r="U51" s="141"/>
      <c r="V51" s="140"/>
      <c r="W51" s="140"/>
      <c r="X51" s="141"/>
      <c r="Y51" s="140"/>
      <c r="Z51" s="140"/>
      <c r="AA51" s="140"/>
      <c r="AB51" s="140"/>
      <c r="AC51" s="358"/>
    </row>
    <row r="52" spans="4:29" x14ac:dyDescent="0.2">
      <c r="D52" s="7" t="s">
        <v>836</v>
      </c>
      <c r="E52" s="140"/>
      <c r="F52" s="141"/>
      <c r="G52" s="141"/>
      <c r="H52" s="201"/>
      <c r="J52" s="143"/>
      <c r="K52" s="140"/>
      <c r="L52" s="140"/>
      <c r="M52" s="141"/>
      <c r="N52" s="140"/>
      <c r="O52" s="7"/>
      <c r="P52" s="140"/>
      <c r="Q52" s="141"/>
      <c r="T52" s="140"/>
      <c r="U52" s="141"/>
      <c r="V52" s="140"/>
      <c r="W52" s="140"/>
      <c r="X52" s="141"/>
      <c r="Y52" s="140"/>
      <c r="Z52" s="140"/>
      <c r="AA52" s="140"/>
      <c r="AB52" s="140"/>
      <c r="AC52" s="358"/>
    </row>
    <row r="53" spans="4:29" x14ac:dyDescent="0.2">
      <c r="D53" s="7" t="s">
        <v>720</v>
      </c>
      <c r="E53" s="140"/>
      <c r="F53" s="141"/>
      <c r="G53" s="141"/>
      <c r="H53" s="201"/>
      <c r="J53" s="143"/>
      <c r="K53" s="140"/>
      <c r="L53" s="140"/>
      <c r="M53" s="141"/>
      <c r="N53" s="140"/>
      <c r="O53" s="7"/>
      <c r="P53" s="140"/>
      <c r="Q53" s="141"/>
      <c r="T53" s="140"/>
      <c r="U53" s="141"/>
      <c r="V53" s="140"/>
      <c r="W53" s="140"/>
      <c r="X53" s="141"/>
      <c r="Y53" s="140"/>
      <c r="Z53" s="140"/>
      <c r="AA53" s="140"/>
      <c r="AB53" s="140"/>
      <c r="AC53" s="358"/>
    </row>
    <row r="54" spans="4:29" x14ac:dyDescent="0.2">
      <c r="D54" s="7" t="s">
        <v>721</v>
      </c>
      <c r="E54" s="140"/>
      <c r="F54" s="141"/>
      <c r="G54" s="141"/>
      <c r="H54" s="201"/>
      <c r="J54" s="143"/>
      <c r="K54" s="140"/>
      <c r="L54" s="140"/>
      <c r="M54" s="141"/>
      <c r="N54" s="140"/>
      <c r="O54" s="7"/>
      <c r="Q54" s="141"/>
      <c r="T54" s="140"/>
      <c r="U54" s="141"/>
      <c r="V54" s="140"/>
      <c r="W54" s="140"/>
      <c r="X54" s="141"/>
      <c r="Y54" s="140"/>
      <c r="Z54" s="140"/>
      <c r="AA54" s="140"/>
      <c r="AB54" s="140"/>
      <c r="AC54" s="358"/>
    </row>
    <row r="55" spans="4:29" x14ac:dyDescent="0.2">
      <c r="D55" s="7" t="s">
        <v>318</v>
      </c>
      <c r="E55" s="140"/>
      <c r="F55" s="141"/>
      <c r="G55" s="141"/>
      <c r="H55" s="201"/>
      <c r="J55" s="143"/>
      <c r="K55" s="140"/>
      <c r="L55" s="140"/>
      <c r="M55" s="141"/>
      <c r="N55" s="140"/>
      <c r="Q55" s="141"/>
      <c r="T55" s="140"/>
      <c r="U55" s="141"/>
      <c r="X55" s="141"/>
      <c r="Y55" s="140"/>
      <c r="Z55" s="140"/>
      <c r="AA55" s="140"/>
      <c r="AB55" s="140"/>
      <c r="AC55" s="358"/>
    </row>
    <row r="56" spans="4:29" x14ac:dyDescent="0.2">
      <c r="D56" s="7" t="s">
        <v>319</v>
      </c>
      <c r="E56" s="140"/>
      <c r="F56" s="141"/>
      <c r="G56" s="141"/>
      <c r="H56" s="201"/>
      <c r="J56" s="141"/>
      <c r="K56" s="140"/>
      <c r="L56" s="140"/>
      <c r="M56" s="141"/>
      <c r="N56" s="140"/>
      <c r="Q56" s="141"/>
      <c r="T56" s="140"/>
      <c r="U56" s="141"/>
      <c r="X56" s="141"/>
      <c r="Y56" s="140"/>
      <c r="Z56" s="140"/>
      <c r="AA56" s="140"/>
      <c r="AB56" s="140"/>
      <c r="AC56" s="358"/>
    </row>
    <row r="57" spans="4:29" x14ac:dyDescent="0.2">
      <c r="D57" s="7" t="s">
        <v>320</v>
      </c>
      <c r="E57" s="140"/>
      <c r="F57" s="141"/>
      <c r="G57" s="141"/>
      <c r="H57" s="201"/>
      <c r="J57" s="141"/>
      <c r="K57" s="140"/>
      <c r="L57" s="140"/>
      <c r="M57" s="141"/>
      <c r="N57" s="140"/>
      <c r="Q57" s="141"/>
      <c r="T57" s="140"/>
      <c r="U57" s="141"/>
      <c r="X57" s="141"/>
      <c r="Y57" s="140"/>
      <c r="Z57" s="140"/>
      <c r="AA57" s="140"/>
      <c r="AB57" s="140"/>
      <c r="AC57" s="358"/>
    </row>
    <row r="58" spans="4:29" x14ac:dyDescent="0.2">
      <c r="D58" s="7" t="s">
        <v>321</v>
      </c>
      <c r="F58" s="141"/>
      <c r="G58" s="141"/>
      <c r="H58" s="201"/>
      <c r="J58" s="141"/>
      <c r="M58" s="141"/>
      <c r="N58" s="140"/>
      <c r="Q58" s="141"/>
      <c r="T58" s="140"/>
      <c r="U58" s="141"/>
      <c r="X58" s="141"/>
      <c r="Y58" s="140"/>
      <c r="Z58" s="140"/>
      <c r="AA58" s="140"/>
      <c r="AB58" s="140"/>
      <c r="AC58" s="358"/>
    </row>
    <row r="59" spans="4:29" x14ac:dyDescent="0.2">
      <c r="D59" s="7" t="s">
        <v>312</v>
      </c>
      <c r="F59" s="141"/>
      <c r="H59" s="201"/>
      <c r="N59" s="140"/>
      <c r="T59" s="140"/>
      <c r="Y59" s="140"/>
      <c r="Z59" s="140"/>
      <c r="AA59" s="140"/>
      <c r="AB59" s="140"/>
      <c r="AC59" s="358"/>
    </row>
    <row r="60" spans="4:29" x14ac:dyDescent="0.2">
      <c r="D60" s="7" t="s">
        <v>313</v>
      </c>
      <c r="F60" s="141"/>
      <c r="H60" s="201"/>
      <c r="N60" s="140"/>
      <c r="T60" s="140"/>
      <c r="Y60" s="140"/>
      <c r="Z60" s="140"/>
      <c r="AA60" s="140"/>
      <c r="AB60" s="140"/>
      <c r="AC60" s="358"/>
    </row>
    <row r="61" spans="4:29" x14ac:dyDescent="0.2">
      <c r="D61" s="7" t="s">
        <v>844</v>
      </c>
      <c r="F61" s="141"/>
      <c r="H61" s="201"/>
      <c r="N61" s="140"/>
      <c r="T61" s="140"/>
      <c r="Y61" s="140"/>
      <c r="Z61" s="140"/>
      <c r="AA61" s="140"/>
      <c r="AB61" s="140"/>
      <c r="AC61" s="358"/>
    </row>
    <row r="62" spans="4:29" x14ac:dyDescent="0.2">
      <c r="D62" s="7" t="s">
        <v>834</v>
      </c>
      <c r="F62" s="141"/>
      <c r="H62" s="201"/>
      <c r="N62" s="140"/>
      <c r="T62" s="140"/>
      <c r="Y62" s="140"/>
      <c r="Z62" s="140"/>
      <c r="AA62" s="140"/>
      <c r="AB62" s="140"/>
      <c r="AC62" s="358"/>
    </row>
    <row r="63" spans="4:29" x14ac:dyDescent="0.2">
      <c r="D63" s="7" t="s">
        <v>718</v>
      </c>
      <c r="H63" s="201"/>
      <c r="N63" s="140"/>
      <c r="T63" s="140"/>
      <c r="Y63" s="140"/>
      <c r="Z63" s="140"/>
      <c r="AA63" s="140"/>
      <c r="AB63" s="140"/>
      <c r="AC63" s="358"/>
    </row>
    <row r="64" spans="4:29" x14ac:dyDescent="0.2">
      <c r="D64" s="7" t="s">
        <v>719</v>
      </c>
      <c r="H64" s="201"/>
      <c r="N64" s="140"/>
      <c r="T64" s="140"/>
      <c r="Y64" s="140"/>
      <c r="Z64" s="140"/>
      <c r="AA64" s="140"/>
      <c r="AB64" s="140"/>
      <c r="AC64" s="358"/>
    </row>
    <row r="65" spans="4:29" x14ac:dyDescent="0.2">
      <c r="D65" s="7" t="s">
        <v>322</v>
      </c>
      <c r="H65" s="201"/>
      <c r="N65" s="140"/>
      <c r="T65" s="140"/>
      <c r="Y65" s="140"/>
      <c r="Z65" s="140"/>
      <c r="AA65" s="140"/>
      <c r="AB65" s="140"/>
      <c r="AC65" s="358"/>
    </row>
    <row r="66" spans="4:29" x14ac:dyDescent="0.2">
      <c r="D66" s="7" t="s">
        <v>323</v>
      </c>
      <c r="H66" s="201"/>
      <c r="N66" s="140"/>
      <c r="Y66" s="140"/>
      <c r="Z66" s="140"/>
      <c r="AA66" s="140"/>
      <c r="AB66" s="140"/>
    </row>
    <row r="67" spans="4:29" x14ac:dyDescent="0.2">
      <c r="D67" s="7" t="s">
        <v>314</v>
      </c>
      <c r="H67" s="201"/>
      <c r="N67" s="140"/>
      <c r="Y67" s="140"/>
      <c r="Z67" s="140"/>
      <c r="AA67" s="140"/>
      <c r="AB67" s="140"/>
    </row>
    <row r="68" spans="4:29" ht="24" x14ac:dyDescent="0.2">
      <c r="D68" s="7" t="s">
        <v>315</v>
      </c>
      <c r="H68" s="201"/>
      <c r="N68" s="140"/>
      <c r="AB68" s="140"/>
    </row>
    <row r="69" spans="4:29" x14ac:dyDescent="0.2">
      <c r="D69" s="140"/>
      <c r="N69" s="140"/>
      <c r="AB69" s="140"/>
    </row>
    <row r="70" spans="4:29" x14ac:dyDescent="0.2">
      <c r="D70" s="140"/>
      <c r="N70" s="140"/>
      <c r="AB70" s="140"/>
    </row>
    <row r="71" spans="4:29" x14ac:dyDescent="0.2">
      <c r="D71" s="140"/>
      <c r="N71" s="140"/>
      <c r="AB71" s="140"/>
    </row>
    <row r="72" spans="4:29" x14ac:dyDescent="0.2">
      <c r="D72" s="140"/>
      <c r="N72" s="140"/>
      <c r="AB72" s="140"/>
    </row>
    <row r="73" spans="4:29" x14ac:dyDescent="0.2">
      <c r="D73" s="140"/>
      <c r="N73" s="140"/>
      <c r="AB73" s="140"/>
    </row>
    <row r="74" spans="4:29" x14ac:dyDescent="0.2">
      <c r="D74" s="140"/>
      <c r="N74" s="140"/>
      <c r="AB74" s="140"/>
    </row>
    <row r="75" spans="4:29" x14ac:dyDescent="0.2">
      <c r="D75" s="140"/>
      <c r="N75" s="140"/>
      <c r="AB75" s="140"/>
    </row>
    <row r="76" spans="4:29" x14ac:dyDescent="0.2">
      <c r="D76" s="140"/>
      <c r="N76" s="140"/>
    </row>
    <row r="77" spans="4:29" x14ac:dyDescent="0.2">
      <c r="D77" s="140"/>
      <c r="N77" s="140"/>
    </row>
    <row r="78" spans="4:29" x14ac:dyDescent="0.2">
      <c r="D78" s="140"/>
      <c r="N78" s="140"/>
    </row>
  </sheetData>
  <sheetProtection selectLockedCells="1" selectUnlockedCells="1"/>
  <dataConsolidate/>
  <mergeCells count="3">
    <mergeCell ref="D1:E1"/>
    <mergeCell ref="K1:L1"/>
    <mergeCell ref="N1:O1"/>
  </mergeCells>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E5:AF5 K5:L5 M6 T13 J56 V7 AC15 AB14 N31" xr:uid="{00000000-0002-0000-0A00-000000000000}">
      <formula1>0</formula1>
    </dataValidation>
  </dataValidations>
  <pageMargins left="0.17" right="0.75" top="0.28000000000000003" bottom="1" header="0.17" footer="0.5"/>
  <pageSetup scale="49" fitToWidth="2" orientation="landscape" horizontalDpi="1200" verticalDpi="12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BZ85"/>
  <sheetViews>
    <sheetView showGridLines="0" topLeftCell="CA1" zoomScale="75" zoomScaleNormal="75" workbookViewId="0">
      <selection sqref="A1:BZ1048576"/>
    </sheetView>
  </sheetViews>
  <sheetFormatPr defaultRowHeight="12" x14ac:dyDescent="0.2"/>
  <cols>
    <col min="1" max="1" width="8.88671875" style="287" hidden="1" customWidth="1"/>
    <col min="2" max="2" width="2.88671875" style="287" hidden="1" customWidth="1"/>
    <col min="3" max="3" width="5.21875" style="288" hidden="1" customWidth="1"/>
    <col min="4" max="4" width="20.109375" style="287" hidden="1" customWidth="1"/>
    <col min="5" max="5" width="10.6640625" style="287" hidden="1" customWidth="1"/>
    <col min="6" max="6" width="18" style="287" hidden="1" customWidth="1"/>
    <col min="7" max="7" width="4.33203125" style="288" hidden="1" customWidth="1"/>
    <col min="8" max="8" width="14.88671875" style="287" hidden="1" customWidth="1"/>
    <col min="9" max="9" width="8.109375" style="287" hidden="1" customWidth="1"/>
    <col min="10" max="10" width="4.77734375" style="288" hidden="1" customWidth="1"/>
    <col min="11" max="11" width="6.21875" style="287" hidden="1" customWidth="1"/>
    <col min="12" max="12" width="7.109375" style="287" hidden="1" customWidth="1"/>
    <col min="13" max="13" width="4.77734375" style="288" hidden="1" customWidth="1"/>
    <col min="14" max="14" width="22.77734375" style="287" hidden="1" customWidth="1"/>
    <col min="15" max="15" width="12.109375" style="423" hidden="1" customWidth="1"/>
    <col min="16" max="16" width="12" style="287" hidden="1" customWidth="1"/>
    <col min="17" max="17" width="4.44140625" style="288" hidden="1" customWidth="1"/>
    <col min="18" max="18" width="10.109375" style="287" hidden="1" customWidth="1"/>
    <col min="19" max="19" width="7.21875" style="287" hidden="1" customWidth="1"/>
    <col min="20" max="20" width="13" style="287" hidden="1" customWidth="1"/>
    <col min="21" max="21" width="4" style="288" hidden="1" customWidth="1"/>
    <col min="22" max="23" width="10.33203125" style="287" hidden="1" customWidth="1"/>
    <col min="24" max="24" width="4.33203125" style="288" hidden="1" customWidth="1"/>
    <col min="25" max="25" width="20.6640625" style="287" hidden="1" customWidth="1"/>
    <col min="26" max="27" width="10" style="287" hidden="1" customWidth="1"/>
    <col min="28" max="28" width="17.6640625" style="287" hidden="1" customWidth="1"/>
    <col min="29" max="29" width="12.21875" style="287" hidden="1" customWidth="1"/>
    <col min="30" max="31" width="15.109375" style="287" hidden="1" customWidth="1"/>
    <col min="32" max="78" width="8.88671875" style="287" hidden="1" customWidth="1"/>
    <col min="79" max="16384" width="8.88671875" style="287"/>
  </cols>
  <sheetData>
    <row r="1" spans="2:34" ht="12.75" thickBot="1" x14ac:dyDescent="0.25">
      <c r="B1" s="286" t="s">
        <v>69</v>
      </c>
      <c r="D1" s="1539" t="s">
        <v>72</v>
      </c>
      <c r="E1" s="1539"/>
      <c r="F1" s="402"/>
      <c r="K1" s="1539" t="s">
        <v>70</v>
      </c>
      <c r="L1" s="1539"/>
      <c r="N1" s="1539" t="s">
        <v>71</v>
      </c>
      <c r="O1" s="1539"/>
      <c r="P1" s="403"/>
      <c r="R1" s="403"/>
      <c r="S1" s="403"/>
      <c r="T1" s="403"/>
      <c r="V1" s="403"/>
      <c r="W1" s="403"/>
      <c r="Y1" s="404" t="s">
        <v>76</v>
      </c>
      <c r="Z1" s="404"/>
      <c r="AA1" s="404"/>
      <c r="AC1" s="404" t="s">
        <v>77</v>
      </c>
      <c r="AD1" s="404"/>
    </row>
    <row r="2" spans="2:34" ht="36" x14ac:dyDescent="0.2">
      <c r="C2" s="292"/>
      <c r="D2" s="405" t="s">
        <v>1</v>
      </c>
      <c r="E2" s="405" t="s">
        <v>67</v>
      </c>
      <c r="F2" s="406" t="s">
        <v>168</v>
      </c>
      <c r="G2" s="292"/>
      <c r="H2" s="405" t="s">
        <v>2</v>
      </c>
      <c r="I2" s="405" t="s">
        <v>73</v>
      </c>
      <c r="J2" s="292"/>
      <c r="K2" s="405" t="s">
        <v>40</v>
      </c>
      <c r="L2" s="405" t="s">
        <v>66</v>
      </c>
      <c r="M2" s="292"/>
      <c r="N2" s="405" t="s">
        <v>3</v>
      </c>
      <c r="O2" s="407" t="s">
        <v>173</v>
      </c>
      <c r="P2" s="405" t="s">
        <v>55</v>
      </c>
      <c r="Q2" s="292"/>
      <c r="R2" s="405" t="s">
        <v>14</v>
      </c>
      <c r="S2" s="405" t="s">
        <v>25</v>
      </c>
      <c r="T2" s="405" t="s">
        <v>15</v>
      </c>
      <c r="U2" s="292"/>
      <c r="V2" s="405" t="s">
        <v>16</v>
      </c>
      <c r="W2" s="405" t="s">
        <v>68</v>
      </c>
      <c r="X2" s="292"/>
      <c r="Y2" s="405" t="s">
        <v>26</v>
      </c>
      <c r="Z2" s="407" t="s">
        <v>271</v>
      </c>
      <c r="AA2" s="407" t="s">
        <v>142</v>
      </c>
      <c r="AC2" s="407" t="s">
        <v>39</v>
      </c>
      <c r="AD2" s="407" t="s">
        <v>272</v>
      </c>
      <c r="AE2" s="408" t="s">
        <v>83</v>
      </c>
      <c r="AF2" s="409" t="s">
        <v>73</v>
      </c>
      <c r="AG2" s="409" t="s">
        <v>237</v>
      </c>
      <c r="AH2" s="409" t="s">
        <v>242</v>
      </c>
    </row>
    <row r="3" spans="2:34" x14ac:dyDescent="0.2">
      <c r="C3" s="292"/>
      <c r="D3" s="410"/>
      <c r="E3" s="410"/>
      <c r="F3" s="410"/>
      <c r="G3" s="292"/>
      <c r="H3" s="411" t="s">
        <v>74</v>
      </c>
      <c r="I3" s="412" t="s">
        <v>309</v>
      </c>
      <c r="J3" s="292"/>
      <c r="K3" s="410"/>
      <c r="L3" s="410"/>
      <c r="M3" s="292"/>
      <c r="N3" s="410"/>
      <c r="O3" s="406"/>
      <c r="P3" s="410"/>
      <c r="Q3" s="292"/>
      <c r="R3" s="410"/>
      <c r="S3" s="410"/>
      <c r="T3" s="410"/>
      <c r="U3" s="292"/>
      <c r="V3" s="410"/>
      <c r="W3" s="410"/>
      <c r="X3" s="292"/>
      <c r="Y3" s="410"/>
      <c r="Z3" s="413"/>
      <c r="AA3" s="413"/>
      <c r="AC3" s="410"/>
      <c r="AD3" s="414"/>
      <c r="AE3" s="415"/>
      <c r="AF3" s="416"/>
      <c r="AG3" s="416"/>
      <c r="AH3" s="416"/>
    </row>
    <row r="4" spans="2:34" ht="15" customHeight="1" x14ac:dyDescent="0.2">
      <c r="B4" s="287">
        <v>1</v>
      </c>
      <c r="C4" s="139"/>
      <c r="D4" s="417" t="s">
        <v>49</v>
      </c>
      <c r="E4" s="140">
        <v>0</v>
      </c>
      <c r="F4" s="141" t="s">
        <v>170</v>
      </c>
      <c r="G4" s="141"/>
      <c r="H4" s="142" t="s">
        <v>84</v>
      </c>
      <c r="I4" s="298">
        <v>168</v>
      </c>
      <c r="J4" s="143"/>
      <c r="K4" s="142" t="s">
        <v>64</v>
      </c>
      <c r="L4" s="144"/>
      <c r="M4" s="143"/>
      <c r="N4" s="417" t="s">
        <v>4</v>
      </c>
      <c r="O4" s="418">
        <v>0</v>
      </c>
      <c r="P4" s="140">
        <v>2</v>
      </c>
      <c r="Q4" s="141"/>
      <c r="R4" s="140" t="s">
        <v>17</v>
      </c>
      <c r="S4" s="140">
        <v>1</v>
      </c>
      <c r="T4" s="417" t="s">
        <v>195</v>
      </c>
      <c r="U4" s="141"/>
      <c r="V4" s="417" t="s">
        <v>38</v>
      </c>
      <c r="W4" s="298">
        <v>0</v>
      </c>
      <c r="X4" s="141"/>
      <c r="Y4" s="200" t="s">
        <v>223</v>
      </c>
      <c r="Z4" s="283"/>
      <c r="AA4" s="276">
        <v>11.5</v>
      </c>
      <c r="AC4" s="280" t="s">
        <v>207</v>
      </c>
      <c r="AD4" s="359">
        <v>0</v>
      </c>
      <c r="AE4" s="419" t="s">
        <v>131</v>
      </c>
      <c r="AF4" s="299">
        <v>0</v>
      </c>
      <c r="AG4" s="585" t="s">
        <v>457</v>
      </c>
      <c r="AH4" s="212">
        <v>3.75</v>
      </c>
    </row>
    <row r="5" spans="2:34" ht="15" customHeight="1" x14ac:dyDescent="0.2">
      <c r="B5" s="287">
        <v>2</v>
      </c>
      <c r="C5" s="139"/>
      <c r="D5" s="417" t="s">
        <v>832</v>
      </c>
      <c r="E5" s="140">
        <v>0</v>
      </c>
      <c r="F5" s="141" t="s">
        <v>171</v>
      </c>
      <c r="G5" s="141"/>
      <c r="H5" s="142" t="s">
        <v>87</v>
      </c>
      <c r="I5" s="298">
        <v>168</v>
      </c>
      <c r="J5" s="143"/>
      <c r="K5" s="142"/>
      <c r="L5" s="144"/>
      <c r="M5" s="143"/>
      <c r="N5" s="417" t="s">
        <v>426</v>
      </c>
      <c r="O5" s="418">
        <v>0</v>
      </c>
      <c r="P5" s="140">
        <v>1</v>
      </c>
      <c r="Q5" s="141"/>
      <c r="R5" s="140" t="s">
        <v>18</v>
      </c>
      <c r="S5" s="140">
        <v>1</v>
      </c>
      <c r="T5" s="417" t="s">
        <v>196</v>
      </c>
      <c r="U5" s="141"/>
      <c r="V5" s="417" t="s">
        <v>28</v>
      </c>
      <c r="W5" s="298">
        <v>0</v>
      </c>
      <c r="X5" s="141"/>
      <c r="Y5" s="200" t="s">
        <v>224</v>
      </c>
      <c r="Z5" s="283"/>
      <c r="AA5" s="276">
        <v>15</v>
      </c>
      <c r="AC5" s="280" t="s">
        <v>852</v>
      </c>
      <c r="AD5" s="359">
        <v>8</v>
      </c>
      <c r="AG5" s="585" t="s">
        <v>458</v>
      </c>
      <c r="AH5" s="212">
        <v>3.75</v>
      </c>
    </row>
    <row r="6" spans="2:34" ht="15" customHeight="1" x14ac:dyDescent="0.2">
      <c r="B6" s="287">
        <v>3</v>
      </c>
      <c r="C6" s="139"/>
      <c r="D6" s="638" t="s">
        <v>716</v>
      </c>
      <c r="E6" s="639">
        <v>0</v>
      </c>
      <c r="F6" s="550" t="s">
        <v>171</v>
      </c>
      <c r="G6" s="141"/>
      <c r="H6" s="142" t="s">
        <v>90</v>
      </c>
      <c r="I6" s="298">
        <v>168</v>
      </c>
      <c r="J6" s="143"/>
      <c r="K6" s="142"/>
      <c r="L6" s="142"/>
      <c r="M6" s="143"/>
      <c r="N6" s="417" t="s">
        <v>5</v>
      </c>
      <c r="O6" s="418">
        <v>0</v>
      </c>
      <c r="P6" s="140">
        <v>1</v>
      </c>
      <c r="Q6" s="141"/>
      <c r="R6" s="140" t="s">
        <v>19</v>
      </c>
      <c r="S6" s="140">
        <v>2</v>
      </c>
      <c r="T6" s="417" t="s">
        <v>199</v>
      </c>
      <c r="U6" s="141"/>
      <c r="V6" s="420" t="s">
        <v>88</v>
      </c>
      <c r="W6" s="298">
        <v>0</v>
      </c>
      <c r="X6" s="141"/>
      <c r="Y6" s="200" t="s">
        <v>220</v>
      </c>
      <c r="Z6" s="283"/>
      <c r="AA6" s="276">
        <v>18.5</v>
      </c>
      <c r="AC6" s="280" t="s">
        <v>853</v>
      </c>
      <c r="AD6" s="359">
        <v>12.5</v>
      </c>
      <c r="AG6" s="585" t="s">
        <v>459</v>
      </c>
      <c r="AH6" s="212">
        <v>3.75</v>
      </c>
    </row>
    <row r="7" spans="2:34" ht="15" customHeight="1" x14ac:dyDescent="0.2">
      <c r="B7" s="287">
        <v>4</v>
      </c>
      <c r="C7" s="139"/>
      <c r="D7" s="638" t="s">
        <v>50</v>
      </c>
      <c r="E7" s="639">
        <v>0</v>
      </c>
      <c r="F7" s="550" t="str">
        <f ca="1">IF(TODAY()&gt;40633,"All","Full")</f>
        <v>All</v>
      </c>
      <c r="G7" s="141"/>
      <c r="H7" s="142" t="s">
        <v>96</v>
      </c>
      <c r="I7" s="298">
        <v>168</v>
      </c>
      <c r="J7" s="143"/>
      <c r="K7" s="142"/>
      <c r="L7" s="142"/>
      <c r="M7" s="143"/>
      <c r="N7" s="417" t="s">
        <v>175</v>
      </c>
      <c r="O7" s="298">
        <v>54</v>
      </c>
      <c r="P7" s="417">
        <v>1</v>
      </c>
      <c r="Q7" s="141"/>
      <c r="R7" s="140" t="s">
        <v>20</v>
      </c>
      <c r="S7" s="140">
        <v>2</v>
      </c>
      <c r="T7" s="417" t="s">
        <v>197</v>
      </c>
      <c r="U7" s="141"/>
      <c r="V7" s="417" t="s">
        <v>37</v>
      </c>
      <c r="W7" s="298">
        <v>0</v>
      </c>
      <c r="X7" s="141"/>
      <c r="Y7" s="200" t="s">
        <v>482</v>
      </c>
      <c r="Z7" s="283"/>
      <c r="AA7" s="276">
        <v>11.5</v>
      </c>
      <c r="AC7" s="280" t="s">
        <v>231</v>
      </c>
      <c r="AD7" s="359">
        <v>30</v>
      </c>
      <c r="AG7" s="585" t="s">
        <v>460</v>
      </c>
      <c r="AH7" s="212">
        <v>3.75</v>
      </c>
    </row>
    <row r="8" spans="2:34" ht="15" customHeight="1" x14ac:dyDescent="0.2">
      <c r="B8" s="287">
        <v>5</v>
      </c>
      <c r="C8" s="139"/>
      <c r="D8" s="954" t="s">
        <v>839</v>
      </c>
      <c r="E8" s="955">
        <v>0</v>
      </c>
      <c r="F8" s="141" t="s">
        <v>64</v>
      </c>
      <c r="G8" s="141"/>
      <c r="H8" s="142" t="s">
        <v>89</v>
      </c>
      <c r="I8" s="298">
        <v>168</v>
      </c>
      <c r="J8" s="143"/>
      <c r="K8" s="142"/>
      <c r="L8" s="142"/>
      <c r="M8" s="143"/>
      <c r="N8" s="417" t="s">
        <v>176</v>
      </c>
      <c r="O8" s="298">
        <v>54</v>
      </c>
      <c r="P8" s="417">
        <v>1</v>
      </c>
      <c r="Q8" s="141"/>
      <c r="R8" s="140" t="s">
        <v>21</v>
      </c>
      <c r="S8" s="140">
        <v>2</v>
      </c>
      <c r="T8" s="417" t="s">
        <v>198</v>
      </c>
      <c r="U8" s="141"/>
      <c r="V8" s="417" t="s">
        <v>57</v>
      </c>
      <c r="W8" s="298">
        <v>0</v>
      </c>
      <c r="X8" s="141"/>
      <c r="Y8" s="200" t="s">
        <v>225</v>
      </c>
      <c r="Z8" s="283"/>
      <c r="AA8" s="276">
        <v>11.5</v>
      </c>
      <c r="AC8" s="280" t="s">
        <v>232</v>
      </c>
      <c r="AD8" s="359">
        <v>18.5</v>
      </c>
      <c r="AG8" s="585" t="s">
        <v>461</v>
      </c>
      <c r="AH8" s="212">
        <v>3.75</v>
      </c>
    </row>
    <row r="9" spans="2:34" ht="15" customHeight="1" x14ac:dyDescent="0.2">
      <c r="B9" s="287">
        <v>6</v>
      </c>
      <c r="C9" s="139"/>
      <c r="D9" s="954" t="s">
        <v>724</v>
      </c>
      <c r="E9" s="955">
        <v>0</v>
      </c>
      <c r="F9" s="141" t="s">
        <v>64</v>
      </c>
      <c r="G9" s="141"/>
      <c r="H9" s="142" t="s">
        <v>93</v>
      </c>
      <c r="I9" s="298">
        <v>168</v>
      </c>
      <c r="J9" s="143"/>
      <c r="K9" s="142"/>
      <c r="L9" s="142"/>
      <c r="M9" s="143"/>
      <c r="N9" s="417" t="s">
        <v>177</v>
      </c>
      <c r="O9" s="298">
        <v>54</v>
      </c>
      <c r="P9" s="417">
        <v>1</v>
      </c>
      <c r="Q9" s="141"/>
      <c r="R9" s="140" t="s">
        <v>22</v>
      </c>
      <c r="S9" s="140">
        <v>3</v>
      </c>
      <c r="T9" s="417" t="s">
        <v>200</v>
      </c>
      <c r="U9" s="141"/>
      <c r="V9" s="417" t="s">
        <v>47</v>
      </c>
      <c r="W9" s="298">
        <v>0</v>
      </c>
      <c r="X9" s="141"/>
      <c r="Y9" s="200" t="s">
        <v>226</v>
      </c>
      <c r="Z9" s="283"/>
      <c r="AA9" s="276">
        <v>15</v>
      </c>
      <c r="AC9" s="280" t="s">
        <v>233</v>
      </c>
      <c r="AD9" s="359">
        <v>24</v>
      </c>
      <c r="AG9" s="283" t="s">
        <v>469</v>
      </c>
      <c r="AH9" s="212">
        <v>3.75</v>
      </c>
    </row>
    <row r="10" spans="2:34" ht="15" customHeight="1" x14ac:dyDescent="0.2">
      <c r="B10" s="287">
        <v>7</v>
      </c>
      <c r="C10" s="139"/>
      <c r="D10" s="954" t="s">
        <v>300</v>
      </c>
      <c r="E10" s="955">
        <v>0</v>
      </c>
      <c r="F10" s="141" t="s">
        <v>64</v>
      </c>
      <c r="G10" s="141"/>
      <c r="H10" s="200" t="s">
        <v>488</v>
      </c>
      <c r="I10" s="7">
        <v>0</v>
      </c>
      <c r="J10" s="143"/>
      <c r="K10" s="142"/>
      <c r="L10" s="142"/>
      <c r="M10" s="143"/>
      <c r="N10" s="417" t="s">
        <v>183</v>
      </c>
      <c r="O10" s="372">
        <v>68</v>
      </c>
      <c r="P10" s="417">
        <v>1</v>
      </c>
      <c r="Q10" s="141"/>
      <c r="R10" s="140" t="s">
        <v>23</v>
      </c>
      <c r="S10" s="140">
        <v>3</v>
      </c>
      <c r="T10" s="638" t="s">
        <v>492</v>
      </c>
      <c r="U10" s="141"/>
      <c r="V10" s="7" t="s">
        <v>334</v>
      </c>
      <c r="W10" s="276">
        <v>0</v>
      </c>
      <c r="X10" s="141"/>
      <c r="Y10" s="200" t="s">
        <v>227</v>
      </c>
      <c r="Z10" s="283"/>
      <c r="AA10" s="276">
        <v>18.5</v>
      </c>
      <c r="AC10" s="280" t="s">
        <v>330</v>
      </c>
      <c r="AD10" s="359">
        <v>24</v>
      </c>
      <c r="AG10" s="283" t="s">
        <v>470</v>
      </c>
      <c r="AH10" s="212">
        <v>3.75</v>
      </c>
    </row>
    <row r="11" spans="2:34" ht="15" customHeight="1" x14ac:dyDescent="0.2">
      <c r="B11" s="287">
        <v>8</v>
      </c>
      <c r="C11" s="139"/>
      <c r="E11" s="140"/>
      <c r="F11" s="141"/>
      <c r="G11" s="141"/>
      <c r="H11" s="200" t="s">
        <v>490</v>
      </c>
      <c r="I11" s="7">
        <v>0</v>
      </c>
      <c r="J11" s="143"/>
      <c r="K11" s="142"/>
      <c r="L11" s="142"/>
      <c r="M11" s="143"/>
      <c r="N11" s="417" t="s">
        <v>182</v>
      </c>
      <c r="O11" s="372">
        <v>68</v>
      </c>
      <c r="P11" s="417">
        <v>1</v>
      </c>
      <c r="Q11" s="141"/>
      <c r="R11" s="140" t="s">
        <v>32</v>
      </c>
      <c r="S11" s="140">
        <v>4</v>
      </c>
      <c r="T11" s="638" t="s">
        <v>493</v>
      </c>
      <c r="U11" s="141"/>
      <c r="V11" s="7" t="s">
        <v>333</v>
      </c>
      <c r="W11" s="276">
        <v>5.5</v>
      </c>
      <c r="X11" s="141"/>
      <c r="Y11" s="200" t="s">
        <v>273</v>
      </c>
      <c r="Z11" s="283"/>
      <c r="AA11" s="276">
        <v>12.5</v>
      </c>
      <c r="AC11" s="280" t="s">
        <v>234</v>
      </c>
      <c r="AD11" s="359">
        <v>15</v>
      </c>
      <c r="AG11" s="585" t="s">
        <v>462</v>
      </c>
      <c r="AH11" s="212">
        <v>3.75</v>
      </c>
    </row>
    <row r="12" spans="2:34" ht="15" customHeight="1" x14ac:dyDescent="0.2">
      <c r="B12" s="287">
        <v>9</v>
      </c>
      <c r="C12" s="139"/>
      <c r="D12" s="140"/>
      <c r="E12" s="140"/>
      <c r="F12" s="145"/>
      <c r="G12" s="141"/>
      <c r="H12" s="140"/>
      <c r="I12" s="140"/>
      <c r="J12" s="143"/>
      <c r="K12" s="142"/>
      <c r="L12" s="142"/>
      <c r="M12" s="143"/>
      <c r="N12" s="417" t="s">
        <v>184</v>
      </c>
      <c r="O12" s="372">
        <v>68</v>
      </c>
      <c r="P12" s="417">
        <v>1</v>
      </c>
      <c r="Q12" s="141"/>
      <c r="R12" s="140" t="s">
        <v>24</v>
      </c>
      <c r="S12" s="140">
        <v>4</v>
      </c>
      <c r="T12" s="654" t="s">
        <v>494</v>
      </c>
      <c r="U12" s="141"/>
      <c r="V12" s="551" t="s">
        <v>58</v>
      </c>
      <c r="W12" s="553">
        <v>11</v>
      </c>
      <c r="X12" s="141"/>
      <c r="Y12" s="200" t="s">
        <v>828</v>
      </c>
      <c r="Z12" s="283"/>
      <c r="AA12" s="276">
        <v>16</v>
      </c>
      <c r="AC12" s="280" t="s">
        <v>436</v>
      </c>
      <c r="AD12" s="359">
        <v>15</v>
      </c>
      <c r="AG12" s="585" t="s">
        <v>463</v>
      </c>
      <c r="AH12" s="212">
        <v>3.75</v>
      </c>
    </row>
    <row r="13" spans="2:34" ht="15" customHeight="1" x14ac:dyDescent="0.2">
      <c r="B13" s="287">
        <v>10</v>
      </c>
      <c r="C13" s="139"/>
      <c r="D13" s="140"/>
      <c r="E13" s="140"/>
      <c r="F13" s="145"/>
      <c r="G13" s="141"/>
      <c r="H13" s="140"/>
      <c r="I13" s="140"/>
      <c r="J13" s="143"/>
      <c r="K13" s="142"/>
      <c r="L13" s="142"/>
      <c r="M13" s="143"/>
      <c r="N13" s="417" t="s">
        <v>185</v>
      </c>
      <c r="O13" s="372">
        <v>87</v>
      </c>
      <c r="P13" s="417">
        <v>1</v>
      </c>
      <c r="Q13" s="141"/>
      <c r="R13" s="140" t="s">
        <v>33</v>
      </c>
      <c r="S13" s="140">
        <v>4</v>
      </c>
      <c r="T13" s="140"/>
      <c r="U13" s="141"/>
      <c r="V13" s="140"/>
      <c r="W13" s="140"/>
      <c r="X13" s="141"/>
      <c r="Y13" s="200" t="s">
        <v>212</v>
      </c>
      <c r="Z13" s="283"/>
      <c r="AA13" s="276">
        <v>15</v>
      </c>
      <c r="AB13" s="140"/>
      <c r="AC13" s="280" t="s">
        <v>498</v>
      </c>
      <c r="AD13" s="359">
        <v>21.5</v>
      </c>
      <c r="AG13" s="585" t="s">
        <v>241</v>
      </c>
      <c r="AH13" s="212">
        <v>3.75</v>
      </c>
    </row>
    <row r="14" spans="2:34" ht="15" customHeight="1" x14ac:dyDescent="0.2">
      <c r="B14" s="287">
        <v>11</v>
      </c>
      <c r="C14" s="139"/>
      <c r="D14" s="140"/>
      <c r="E14" s="140"/>
      <c r="F14" s="145"/>
      <c r="G14" s="141"/>
      <c r="J14" s="143"/>
      <c r="K14" s="142"/>
      <c r="L14" s="142"/>
      <c r="M14" s="143"/>
      <c r="N14" s="417" t="s">
        <v>186</v>
      </c>
      <c r="O14" s="372">
        <v>87</v>
      </c>
      <c r="P14" s="417">
        <v>1</v>
      </c>
      <c r="Q14" s="141"/>
      <c r="R14" s="140" t="s">
        <v>34</v>
      </c>
      <c r="S14" s="140">
        <v>5</v>
      </c>
      <c r="T14" s="417"/>
      <c r="U14" s="141"/>
      <c r="V14" s="140"/>
      <c r="W14" s="140"/>
      <c r="X14" s="141"/>
      <c r="Y14" s="200" t="s">
        <v>221</v>
      </c>
      <c r="Z14" s="283"/>
      <c r="AA14" s="276">
        <v>18.5</v>
      </c>
      <c r="AB14" s="140"/>
      <c r="AC14" s="280" t="s">
        <v>847</v>
      </c>
      <c r="AD14" s="359">
        <v>21.5</v>
      </c>
      <c r="AG14" s="585" t="s">
        <v>240</v>
      </c>
      <c r="AH14" s="212">
        <v>7</v>
      </c>
    </row>
    <row r="15" spans="2:34" ht="15" customHeight="1" x14ac:dyDescent="0.2">
      <c r="B15" s="287">
        <v>12</v>
      </c>
      <c r="C15" s="139"/>
      <c r="D15" s="140"/>
      <c r="E15" s="140"/>
      <c r="F15" s="145"/>
      <c r="G15" s="141"/>
      <c r="J15" s="143"/>
      <c r="K15" s="142"/>
      <c r="L15" s="142"/>
      <c r="M15" s="143"/>
      <c r="N15" s="417" t="s">
        <v>187</v>
      </c>
      <c r="O15" s="372">
        <v>87</v>
      </c>
      <c r="P15" s="417">
        <v>1</v>
      </c>
      <c r="Q15" s="141"/>
      <c r="R15" s="140" t="s">
        <v>35</v>
      </c>
      <c r="S15" s="140">
        <v>5</v>
      </c>
      <c r="T15" s="417"/>
      <c r="U15" s="141"/>
      <c r="V15" s="140"/>
      <c r="W15" s="140"/>
      <c r="X15" s="141"/>
      <c r="Y15" s="200" t="s">
        <v>830</v>
      </c>
      <c r="Z15" s="283"/>
      <c r="AA15" s="276">
        <v>22</v>
      </c>
      <c r="AB15" s="485"/>
      <c r="AC15" s="358"/>
      <c r="AG15" s="585" t="s">
        <v>464</v>
      </c>
      <c r="AH15" s="212">
        <v>7</v>
      </c>
    </row>
    <row r="16" spans="2:34" ht="15" customHeight="1" thickBot="1" x14ac:dyDescent="0.25">
      <c r="C16" s="139"/>
      <c r="D16" s="140"/>
      <c r="E16" s="140"/>
      <c r="F16" s="145"/>
      <c r="G16" s="141"/>
      <c r="J16" s="143"/>
      <c r="K16" s="142"/>
      <c r="L16" s="142"/>
      <c r="M16" s="143"/>
      <c r="N16" s="7" t="s">
        <v>342</v>
      </c>
      <c r="O16" s="276">
        <v>54</v>
      </c>
      <c r="P16" s="7">
        <v>1</v>
      </c>
      <c r="Q16" s="141"/>
      <c r="R16" s="140" t="s">
        <v>36</v>
      </c>
      <c r="S16" s="140">
        <v>6</v>
      </c>
      <c r="T16" s="140"/>
      <c r="U16" s="141"/>
      <c r="V16" s="140"/>
      <c r="W16" s="140"/>
      <c r="X16" s="141"/>
      <c r="Y16" s="284" t="s">
        <v>230</v>
      </c>
      <c r="Z16" s="283"/>
      <c r="AA16" s="276">
        <v>6</v>
      </c>
      <c r="AB16" s="485"/>
      <c r="AC16" s="358"/>
      <c r="AG16" s="585" t="s">
        <v>465</v>
      </c>
      <c r="AH16" s="212">
        <v>7</v>
      </c>
    </row>
    <row r="17" spans="3:34" ht="15" customHeight="1" thickBot="1" x14ac:dyDescent="0.25">
      <c r="C17" s="139"/>
      <c r="D17" s="140"/>
      <c r="E17" s="140"/>
      <c r="F17" s="141"/>
      <c r="G17" s="141"/>
      <c r="H17" s="142"/>
      <c r="J17" s="143"/>
      <c r="K17" s="142"/>
      <c r="L17" s="142"/>
      <c r="M17" s="143"/>
      <c r="N17" s="7" t="s">
        <v>343</v>
      </c>
      <c r="O17" s="276">
        <v>54</v>
      </c>
      <c r="P17" s="7">
        <v>1</v>
      </c>
      <c r="Q17" s="141"/>
      <c r="R17" s="140" t="s">
        <v>130</v>
      </c>
      <c r="S17" s="140">
        <v>8</v>
      </c>
      <c r="T17" s="405" t="s">
        <v>307</v>
      </c>
      <c r="U17" s="141"/>
      <c r="V17" s="140"/>
      <c r="W17" s="140"/>
      <c r="X17" s="141"/>
      <c r="Y17" s="200" t="s">
        <v>228</v>
      </c>
      <c r="Z17" s="283"/>
      <c r="AA17" s="491">
        <v>11.5</v>
      </c>
      <c r="AB17" s="484"/>
      <c r="AC17" s="405" t="s">
        <v>391</v>
      </c>
      <c r="AG17" s="212" t="s">
        <v>239</v>
      </c>
      <c r="AH17" s="212">
        <v>7475</v>
      </c>
    </row>
    <row r="18" spans="3:34" ht="15" customHeight="1" x14ac:dyDescent="0.2">
      <c r="C18" s="139"/>
      <c r="D18" s="407" t="s">
        <v>267</v>
      </c>
      <c r="E18" s="140"/>
      <c r="F18" s="141"/>
      <c r="G18" s="141"/>
      <c r="H18" s="142"/>
      <c r="J18" s="143"/>
      <c r="K18" s="142"/>
      <c r="L18" s="142"/>
      <c r="M18" s="143"/>
      <c r="N18" s="7" t="s">
        <v>344</v>
      </c>
      <c r="O18" s="276">
        <v>54</v>
      </c>
      <c r="P18" s="7">
        <v>1</v>
      </c>
      <c r="Q18" s="141"/>
      <c r="R18" s="140"/>
      <c r="S18" s="140"/>
      <c r="T18" s="206" t="s">
        <v>195</v>
      </c>
      <c r="U18" s="141"/>
      <c r="V18" s="140"/>
      <c r="W18" s="140"/>
      <c r="X18" s="141"/>
      <c r="Y18" s="200" t="s">
        <v>229</v>
      </c>
      <c r="Z18" s="283"/>
      <c r="AA18" s="491">
        <v>15</v>
      </c>
      <c r="AB18" s="484"/>
      <c r="AC18" s="280"/>
      <c r="AD18" s="359">
        <v>0</v>
      </c>
      <c r="AG18" s="212" t="s">
        <v>467</v>
      </c>
      <c r="AH18" s="212">
        <v>4</v>
      </c>
    </row>
    <row r="19" spans="3:34" ht="15" customHeight="1" x14ac:dyDescent="0.2">
      <c r="C19" s="139"/>
      <c r="D19" s="417" t="s">
        <v>49</v>
      </c>
      <c r="E19" s="140"/>
      <c r="F19" s="141"/>
      <c r="G19" s="141"/>
      <c r="H19" s="142"/>
      <c r="J19" s="143"/>
      <c r="K19" s="142"/>
      <c r="L19" s="142"/>
      <c r="M19" s="143"/>
      <c r="N19" s="140"/>
      <c r="O19" s="417"/>
      <c r="P19" s="140"/>
      <c r="Q19" s="141"/>
      <c r="R19" s="140"/>
      <c r="S19" s="140"/>
      <c r="T19" s="207" t="s">
        <v>196</v>
      </c>
      <c r="U19" s="141"/>
      <c r="V19" s="140"/>
      <c r="W19" s="140"/>
      <c r="X19" s="484"/>
      <c r="Y19" s="200" t="s">
        <v>211</v>
      </c>
      <c r="Z19" s="283"/>
      <c r="AA19" s="491">
        <v>18.5</v>
      </c>
      <c r="AB19" s="484"/>
      <c r="AC19" s="280"/>
      <c r="AD19" s="359">
        <v>8</v>
      </c>
      <c r="AG19" s="212" t="s">
        <v>483</v>
      </c>
      <c r="AH19" s="212">
        <v>7</v>
      </c>
    </row>
    <row r="20" spans="3:34" ht="15" customHeight="1" x14ac:dyDescent="0.2">
      <c r="C20" s="139"/>
      <c r="D20" s="417" t="s">
        <v>832</v>
      </c>
      <c r="E20" s="140"/>
      <c r="F20" s="141"/>
      <c r="G20" s="141"/>
      <c r="H20" s="142"/>
      <c r="J20" s="143"/>
      <c r="K20" s="142"/>
      <c r="L20" s="142"/>
      <c r="M20" s="143"/>
      <c r="N20" s="140"/>
      <c r="O20" s="417"/>
      <c r="P20" s="140"/>
      <c r="Q20" s="141"/>
      <c r="R20" s="140"/>
      <c r="S20" s="140"/>
      <c r="T20" s="207" t="s">
        <v>197</v>
      </c>
      <c r="U20" s="141"/>
      <c r="V20" s="140"/>
      <c r="W20" s="140"/>
      <c r="X20" s="484"/>
      <c r="Y20" s="200" t="s">
        <v>831</v>
      </c>
      <c r="Z20" s="283"/>
      <c r="AA20" s="491">
        <v>15</v>
      </c>
      <c r="AB20" s="484"/>
      <c r="AC20" s="280"/>
      <c r="AD20" s="359">
        <v>5</v>
      </c>
      <c r="AG20" s="212" t="s">
        <v>437</v>
      </c>
      <c r="AH20" s="212">
        <v>3.75</v>
      </c>
    </row>
    <row r="21" spans="3:34" ht="15" customHeight="1" x14ac:dyDescent="0.2">
      <c r="C21" s="139"/>
      <c r="D21" s="417" t="s">
        <v>716</v>
      </c>
      <c r="E21" s="140"/>
      <c r="F21" s="141"/>
      <c r="G21" s="141"/>
      <c r="H21" s="142"/>
      <c r="J21" s="143"/>
      <c r="K21" s="140"/>
      <c r="L21" s="140"/>
      <c r="M21" s="143"/>
      <c r="N21" s="140"/>
      <c r="O21" s="417"/>
      <c r="P21" s="140"/>
      <c r="Q21" s="141"/>
      <c r="R21" s="140"/>
      <c r="S21" s="140"/>
      <c r="T21" s="207" t="s">
        <v>198</v>
      </c>
      <c r="U21" s="141"/>
      <c r="V21" s="140"/>
      <c r="W21" s="140"/>
      <c r="X21" s="484"/>
      <c r="Y21" s="200" t="s">
        <v>829</v>
      </c>
      <c r="Z21" s="283"/>
      <c r="AA21" s="491">
        <v>22</v>
      </c>
      <c r="AB21" s="484"/>
      <c r="AC21" s="280"/>
      <c r="AD21" s="359">
        <v>21</v>
      </c>
      <c r="AG21" s="212" t="s">
        <v>244</v>
      </c>
      <c r="AH21" s="212">
        <v>7475</v>
      </c>
    </row>
    <row r="22" spans="3:34" ht="15" customHeight="1" x14ac:dyDescent="0.2">
      <c r="C22" s="139"/>
      <c r="D22" s="417" t="s">
        <v>50</v>
      </c>
      <c r="E22" s="140"/>
      <c r="F22" s="141"/>
      <c r="G22" s="141"/>
      <c r="J22" s="143"/>
      <c r="K22" s="140"/>
      <c r="L22" s="140"/>
      <c r="M22" s="141"/>
      <c r="N22" s="140"/>
      <c r="O22" s="417"/>
      <c r="P22" s="140"/>
      <c r="Q22" s="141"/>
      <c r="R22" s="140"/>
      <c r="S22" s="140"/>
      <c r="T22" s="207" t="s">
        <v>492</v>
      </c>
      <c r="U22" s="141"/>
      <c r="V22" s="200"/>
      <c r="W22" s="140"/>
      <c r="X22" s="484"/>
      <c r="Y22" s="200" t="s">
        <v>222</v>
      </c>
      <c r="Z22" s="283"/>
      <c r="AA22" s="491">
        <v>15</v>
      </c>
      <c r="AB22" s="484"/>
      <c r="AC22" s="280"/>
      <c r="AD22" s="359">
        <v>11</v>
      </c>
    </row>
    <row r="23" spans="3:34" ht="15" customHeight="1" thickBot="1" x14ac:dyDescent="0.25">
      <c r="C23" s="139"/>
      <c r="D23" s="140"/>
      <c r="E23" s="140"/>
      <c r="F23" s="141"/>
      <c r="G23" s="141"/>
      <c r="J23" s="143"/>
      <c r="K23" s="140"/>
      <c r="L23" s="140"/>
      <c r="M23" s="141"/>
      <c r="N23" s="140"/>
      <c r="O23" s="417"/>
      <c r="P23" s="140"/>
      <c r="Q23" s="141"/>
      <c r="R23" s="140"/>
      <c r="S23" s="140"/>
      <c r="T23" s="207" t="s">
        <v>493</v>
      </c>
      <c r="U23" s="141"/>
      <c r="V23" s="200"/>
      <c r="W23" s="140"/>
      <c r="X23" s="484"/>
      <c r="Y23" s="474" t="s">
        <v>354</v>
      </c>
      <c r="Z23" s="475"/>
      <c r="AA23" s="476">
        <v>18.5</v>
      </c>
      <c r="AB23" s="486">
        <v>70</v>
      </c>
      <c r="AC23" s="280"/>
      <c r="AD23" s="359">
        <v>18</v>
      </c>
    </row>
    <row r="24" spans="3:34" ht="15" customHeight="1" thickBot="1" x14ac:dyDescent="0.25">
      <c r="C24" s="139"/>
      <c r="D24" s="140"/>
      <c r="E24" s="140"/>
      <c r="F24" s="141"/>
      <c r="G24" s="141"/>
      <c r="J24" s="143"/>
      <c r="K24" s="140"/>
      <c r="L24" s="140"/>
      <c r="M24" s="141"/>
      <c r="N24" s="140"/>
      <c r="O24" s="417"/>
      <c r="P24" s="140"/>
      <c r="Q24" s="141"/>
      <c r="R24" s="405" t="s">
        <v>345</v>
      </c>
      <c r="S24" s="405"/>
      <c r="T24" s="207"/>
      <c r="U24" s="141"/>
      <c r="V24" s="200"/>
      <c r="W24" s="140"/>
      <c r="X24" s="484"/>
      <c r="Y24" s="474" t="s">
        <v>355</v>
      </c>
      <c r="Z24" s="475"/>
      <c r="AA24" s="476">
        <v>18.5</v>
      </c>
      <c r="AB24" s="486">
        <v>70</v>
      </c>
      <c r="AC24" s="280"/>
      <c r="AD24" s="359">
        <v>18</v>
      </c>
    </row>
    <row r="25" spans="3:34" ht="15" customHeight="1" x14ac:dyDescent="0.2">
      <c r="C25" s="139"/>
      <c r="D25" s="407" t="s">
        <v>299</v>
      </c>
      <c r="E25" s="140"/>
      <c r="F25" s="141"/>
      <c r="G25" s="141"/>
      <c r="J25" s="143"/>
      <c r="K25" s="140"/>
      <c r="L25" s="140"/>
      <c r="M25" s="141"/>
      <c r="N25" s="140"/>
      <c r="O25" s="417"/>
      <c r="P25" s="140"/>
      <c r="Q25" s="141"/>
      <c r="R25" s="7" t="s">
        <v>346</v>
      </c>
      <c r="S25" s="7">
        <v>4</v>
      </c>
      <c r="T25" s="405" t="s">
        <v>308</v>
      </c>
      <c r="U25" s="141"/>
      <c r="V25" s="200"/>
      <c r="W25" s="140"/>
      <c r="X25" s="484"/>
      <c r="Y25" s="477" t="s">
        <v>356</v>
      </c>
      <c r="Z25" s="369"/>
      <c r="AA25" s="276">
        <v>18.5</v>
      </c>
      <c r="AB25" s="487">
        <v>70</v>
      </c>
      <c r="AC25" s="280"/>
      <c r="AD25" s="359">
        <v>11</v>
      </c>
    </row>
    <row r="26" spans="3:34" ht="15" customHeight="1" x14ac:dyDescent="0.2">
      <c r="C26" s="139"/>
      <c r="D26" s="417" t="s">
        <v>49</v>
      </c>
      <c r="E26" s="140"/>
      <c r="F26" s="141"/>
      <c r="G26" s="141"/>
      <c r="J26" s="143"/>
      <c r="K26" s="140"/>
      <c r="L26" s="140"/>
      <c r="M26" s="141"/>
      <c r="N26" s="140"/>
      <c r="O26" s="417"/>
      <c r="P26" s="140"/>
      <c r="Q26" s="141"/>
      <c r="R26" s="7" t="s">
        <v>425</v>
      </c>
      <c r="S26" s="7">
        <v>2</v>
      </c>
      <c r="T26" s="550" t="s">
        <v>492</v>
      </c>
      <c r="U26" s="141"/>
      <c r="V26" s="200"/>
      <c r="W26" s="140"/>
      <c r="X26" s="484"/>
      <c r="Y26" s="477" t="s">
        <v>357</v>
      </c>
      <c r="Z26" s="369"/>
      <c r="AA26" s="276">
        <v>18.5</v>
      </c>
      <c r="AB26" s="487">
        <v>70</v>
      </c>
      <c r="AC26" s="280"/>
      <c r="AD26" s="359">
        <v>11</v>
      </c>
    </row>
    <row r="27" spans="3:34" ht="15" customHeight="1" x14ac:dyDescent="0.2">
      <c r="C27" s="139"/>
      <c r="D27" s="417" t="s">
        <v>832</v>
      </c>
      <c r="E27" s="140"/>
      <c r="F27" s="141"/>
      <c r="G27" s="141"/>
      <c r="J27" s="143"/>
      <c r="K27" s="140"/>
      <c r="L27" s="140"/>
      <c r="M27" s="141"/>
      <c r="N27" s="140"/>
      <c r="O27" s="417"/>
      <c r="P27" s="140"/>
      <c r="Q27" s="141"/>
      <c r="R27" s="7" t="s">
        <v>347</v>
      </c>
      <c r="S27" s="7">
        <v>6</v>
      </c>
      <c r="T27" s="550" t="s">
        <v>493</v>
      </c>
      <c r="U27" s="141"/>
      <c r="V27" s="200"/>
      <c r="W27" s="140"/>
      <c r="X27" s="141"/>
      <c r="Y27" s="477" t="s">
        <v>358</v>
      </c>
      <c r="Z27" s="369"/>
      <c r="AA27" s="276">
        <v>18.5</v>
      </c>
      <c r="AB27" s="487">
        <v>70</v>
      </c>
      <c r="AC27" s="280" t="s">
        <v>296</v>
      </c>
      <c r="AD27" s="359">
        <v>0</v>
      </c>
    </row>
    <row r="28" spans="3:34" ht="15" customHeight="1" x14ac:dyDescent="0.2">
      <c r="C28" s="139"/>
      <c r="D28" s="417" t="s">
        <v>716</v>
      </c>
      <c r="E28" s="140"/>
      <c r="F28" s="141"/>
      <c r="G28" s="141"/>
      <c r="J28" s="143"/>
      <c r="K28" s="140"/>
      <c r="L28" s="140"/>
      <c r="M28" s="141"/>
      <c r="N28" s="140"/>
      <c r="O28" s="417"/>
      <c r="P28" s="140"/>
      <c r="Q28" s="141"/>
      <c r="R28" s="7" t="s">
        <v>348</v>
      </c>
      <c r="S28" s="7">
        <v>6</v>
      </c>
      <c r="T28" s="550"/>
      <c r="U28" s="141"/>
      <c r="V28" s="200"/>
      <c r="W28" s="140"/>
      <c r="X28" s="141"/>
      <c r="Y28" s="477" t="s">
        <v>359</v>
      </c>
      <c r="Z28" s="369"/>
      <c r="AA28" s="276">
        <v>18.5</v>
      </c>
      <c r="AB28" s="487">
        <v>70</v>
      </c>
      <c r="AC28" s="358"/>
    </row>
    <row r="29" spans="3:34" ht="15" customHeight="1" thickBot="1" x14ac:dyDescent="0.25">
      <c r="C29" s="139"/>
      <c r="D29" s="417" t="s">
        <v>50</v>
      </c>
      <c r="E29" s="140"/>
      <c r="F29" s="141"/>
      <c r="G29" s="141"/>
      <c r="J29" s="143"/>
      <c r="K29" s="140"/>
      <c r="L29" s="140"/>
      <c r="M29" s="141"/>
      <c r="N29" s="140"/>
      <c r="O29" s="417"/>
      <c r="P29" s="140"/>
      <c r="Q29" s="141"/>
      <c r="R29" s="7" t="s">
        <v>349</v>
      </c>
      <c r="S29" s="7">
        <v>8</v>
      </c>
      <c r="T29" s="207"/>
      <c r="U29" s="141"/>
      <c r="V29" s="200"/>
      <c r="W29" s="140"/>
      <c r="X29" s="141"/>
      <c r="Y29" s="477" t="s">
        <v>360</v>
      </c>
      <c r="Z29" s="369"/>
      <c r="AA29" s="276">
        <v>18.5</v>
      </c>
      <c r="AB29" s="487">
        <v>70</v>
      </c>
      <c r="AC29" s="358"/>
    </row>
    <row r="30" spans="3:34" ht="15" customHeight="1" x14ac:dyDescent="0.2">
      <c r="C30" s="139"/>
      <c r="D30" s="140"/>
      <c r="E30" s="140"/>
      <c r="F30" s="141"/>
      <c r="G30" s="141"/>
      <c r="J30" s="143"/>
      <c r="K30" s="140"/>
      <c r="L30" s="140"/>
      <c r="M30" s="141"/>
      <c r="N30" s="140"/>
      <c r="O30" s="417"/>
      <c r="P30" s="140"/>
      <c r="Q30" s="141"/>
      <c r="R30" s="7" t="s">
        <v>350</v>
      </c>
      <c r="S30" s="7">
        <v>8</v>
      </c>
      <c r="T30" s="405" t="s">
        <v>529</v>
      </c>
      <c r="U30" s="141"/>
      <c r="V30" s="284"/>
      <c r="W30" s="140"/>
      <c r="X30" s="141"/>
      <c r="Y30" s="477" t="s">
        <v>361</v>
      </c>
      <c r="Z30" s="369"/>
      <c r="AA30" s="276">
        <v>18.5</v>
      </c>
      <c r="AB30" s="487">
        <v>70</v>
      </c>
      <c r="AC30" s="358"/>
    </row>
    <row r="31" spans="3:34" ht="15" customHeight="1" thickBot="1" x14ac:dyDescent="0.25">
      <c r="C31" s="139"/>
      <c r="D31" s="140"/>
      <c r="E31" s="140"/>
      <c r="F31" s="141"/>
      <c r="G31" s="141"/>
      <c r="J31" s="143"/>
      <c r="K31" s="140"/>
      <c r="L31" s="140"/>
      <c r="M31" s="141"/>
      <c r="N31" s="140"/>
      <c r="O31" s="417"/>
      <c r="P31" s="140"/>
      <c r="Q31" s="141"/>
      <c r="R31" s="140"/>
      <c r="S31" s="140"/>
      <c r="T31" s="639" t="s">
        <v>195</v>
      </c>
      <c r="U31" s="141"/>
      <c r="V31" s="200"/>
      <c r="W31" s="140"/>
      <c r="X31" s="141"/>
      <c r="Y31" s="477" t="s">
        <v>362</v>
      </c>
      <c r="Z31" s="369"/>
      <c r="AA31" s="276">
        <v>18.5</v>
      </c>
      <c r="AB31" s="487">
        <v>70</v>
      </c>
      <c r="AC31" s="358"/>
    </row>
    <row r="32" spans="3:34" ht="15" customHeight="1" x14ac:dyDescent="0.2">
      <c r="C32" s="139"/>
      <c r="D32" s="140"/>
      <c r="E32" s="140"/>
      <c r="F32" s="141"/>
      <c r="G32" s="141"/>
      <c r="J32" s="143"/>
      <c r="K32" s="140"/>
      <c r="L32" s="140"/>
      <c r="M32" s="141"/>
      <c r="N32" s="140"/>
      <c r="O32" s="417"/>
      <c r="P32" s="140"/>
      <c r="Q32" s="141"/>
      <c r="R32" s="405" t="s">
        <v>535</v>
      </c>
      <c r="S32" s="405"/>
      <c r="T32" s="639" t="s">
        <v>197</v>
      </c>
      <c r="U32" s="141"/>
      <c r="V32" s="200"/>
      <c r="W32" s="140"/>
      <c r="X32" s="141"/>
      <c r="Y32" s="477" t="s">
        <v>363</v>
      </c>
      <c r="Z32" s="369"/>
      <c r="AA32" s="276">
        <v>18.5</v>
      </c>
      <c r="AB32" s="487">
        <v>70</v>
      </c>
      <c r="AC32" s="358"/>
    </row>
    <row r="33" spans="3:29" ht="15" customHeight="1" x14ac:dyDescent="0.2">
      <c r="C33" s="139"/>
      <c r="D33" s="140"/>
      <c r="E33" s="140"/>
      <c r="F33" s="141"/>
      <c r="G33" s="141"/>
      <c r="J33" s="143"/>
      <c r="K33" s="140"/>
      <c r="L33" s="140"/>
      <c r="M33" s="141"/>
      <c r="N33" s="140"/>
      <c r="O33" s="417"/>
      <c r="P33" s="140"/>
      <c r="Q33" s="141"/>
      <c r="R33" s="638" t="s">
        <v>538</v>
      </c>
      <c r="S33" s="638">
        <v>2</v>
      </c>
      <c r="T33" s="639" t="s">
        <v>492</v>
      </c>
      <c r="U33" s="141"/>
      <c r="V33" s="200"/>
      <c r="W33" s="140"/>
      <c r="X33" s="141"/>
      <c r="Y33" s="477" t="s">
        <v>364</v>
      </c>
      <c r="Z33" s="369"/>
      <c r="AA33" s="276">
        <v>18.5</v>
      </c>
      <c r="AB33" s="487">
        <v>70</v>
      </c>
      <c r="AC33" s="358"/>
    </row>
    <row r="34" spans="3:29" ht="15" customHeight="1" x14ac:dyDescent="0.2">
      <c r="C34" s="139"/>
      <c r="D34" s="140"/>
      <c r="E34" s="140"/>
      <c r="F34" s="141"/>
      <c r="G34" s="141"/>
      <c r="J34" s="143"/>
      <c r="K34" s="140"/>
      <c r="L34" s="140"/>
      <c r="M34" s="141"/>
      <c r="N34" s="140"/>
      <c r="O34" s="417"/>
      <c r="P34" s="140"/>
      <c r="Q34" s="141"/>
      <c r="R34" s="638" t="s">
        <v>539</v>
      </c>
      <c r="S34" s="638">
        <v>2</v>
      </c>
      <c r="T34" s="140"/>
      <c r="U34" s="141"/>
      <c r="V34" s="481"/>
      <c r="W34" s="140"/>
      <c r="X34" s="141"/>
      <c r="Y34" s="477" t="s">
        <v>365</v>
      </c>
      <c r="Z34" s="369"/>
      <c r="AA34" s="276">
        <v>18.5</v>
      </c>
      <c r="AB34" s="487">
        <v>70</v>
      </c>
      <c r="AC34" s="358"/>
    </row>
    <row r="35" spans="3:29" ht="15" customHeight="1" x14ac:dyDescent="0.2">
      <c r="C35" s="139"/>
      <c r="D35" s="140"/>
      <c r="E35" s="140"/>
      <c r="F35" s="141"/>
      <c r="G35" s="141"/>
      <c r="J35" s="143"/>
      <c r="K35" s="140"/>
      <c r="L35" s="140"/>
      <c r="M35" s="141"/>
      <c r="N35" s="140"/>
      <c r="O35" s="417"/>
      <c r="P35" s="140"/>
      <c r="Q35" s="141"/>
      <c r="R35" s="638" t="s">
        <v>537</v>
      </c>
      <c r="S35" s="638">
        <v>3</v>
      </c>
      <c r="T35" s="140"/>
      <c r="U35" s="141"/>
      <c r="V35" s="481"/>
      <c r="W35" s="140"/>
      <c r="X35" s="141"/>
      <c r="Y35" s="477" t="s">
        <v>366</v>
      </c>
      <c r="Z35" s="369"/>
      <c r="AA35" s="276">
        <v>18.5</v>
      </c>
      <c r="AB35" s="487">
        <v>70</v>
      </c>
      <c r="AC35" s="358"/>
    </row>
    <row r="36" spans="3:29" ht="15" customHeight="1" x14ac:dyDescent="0.2">
      <c r="C36" s="139"/>
      <c r="D36" s="140"/>
      <c r="E36" s="140"/>
      <c r="F36" s="141"/>
      <c r="G36" s="141"/>
      <c r="J36" s="143"/>
      <c r="K36" s="140"/>
      <c r="L36" s="140"/>
      <c r="M36" s="141"/>
      <c r="N36" s="140"/>
      <c r="O36" s="417"/>
      <c r="P36" s="140"/>
      <c r="Q36" s="141"/>
      <c r="R36" s="638" t="s">
        <v>536</v>
      </c>
      <c r="S36" s="638">
        <v>3</v>
      </c>
      <c r="T36" s="140"/>
      <c r="U36" s="141"/>
      <c r="V36" s="140"/>
      <c r="W36" s="140"/>
      <c r="X36" s="141"/>
      <c r="Y36" s="477" t="s">
        <v>367</v>
      </c>
      <c r="Z36" s="369"/>
      <c r="AA36" s="276">
        <v>18.5</v>
      </c>
      <c r="AB36" s="487">
        <v>70</v>
      </c>
      <c r="AC36" s="358"/>
    </row>
    <row r="37" spans="3:29" ht="15" customHeight="1" x14ac:dyDescent="0.2">
      <c r="D37" s="140"/>
      <c r="E37" s="140"/>
      <c r="F37" s="141"/>
      <c r="G37" s="141"/>
      <c r="J37" s="143"/>
      <c r="K37" s="140"/>
      <c r="L37" s="140"/>
      <c r="M37" s="141"/>
      <c r="N37" s="140"/>
      <c r="O37" s="417"/>
      <c r="P37" s="140"/>
      <c r="Q37" s="141"/>
      <c r="R37" s="638" t="s">
        <v>540</v>
      </c>
      <c r="S37" s="638">
        <v>4</v>
      </c>
      <c r="T37" s="140"/>
      <c r="U37" s="141"/>
      <c r="V37" s="140"/>
      <c r="W37" s="140"/>
      <c r="X37" s="141"/>
      <c r="Y37" s="478" t="s">
        <v>368</v>
      </c>
      <c r="Z37" s="479"/>
      <c r="AA37" s="480">
        <v>18.5</v>
      </c>
      <c r="AB37" s="488">
        <v>70</v>
      </c>
      <c r="AC37" s="358"/>
    </row>
    <row r="38" spans="3:29" ht="15" customHeight="1" x14ac:dyDescent="0.2">
      <c r="D38" s="140"/>
      <c r="E38" s="140"/>
      <c r="F38" s="141"/>
      <c r="G38" s="141"/>
      <c r="J38" s="143"/>
      <c r="K38" s="140"/>
      <c r="L38" s="140"/>
      <c r="M38" s="141"/>
      <c r="N38" s="140"/>
      <c r="O38" s="417"/>
      <c r="P38" s="140"/>
      <c r="Q38" s="141"/>
      <c r="R38" s="638" t="s">
        <v>541</v>
      </c>
      <c r="S38" s="638">
        <v>4</v>
      </c>
      <c r="T38" s="140"/>
      <c r="U38" s="141"/>
      <c r="V38" s="140"/>
      <c r="W38" s="140"/>
      <c r="X38" s="141"/>
      <c r="Y38" s="478" t="s">
        <v>369</v>
      </c>
      <c r="Z38" s="479"/>
      <c r="AA38" s="480">
        <v>18.5</v>
      </c>
      <c r="AB38" s="488">
        <v>70</v>
      </c>
      <c r="AC38" s="358"/>
    </row>
    <row r="39" spans="3:29" ht="15" customHeight="1" x14ac:dyDescent="0.2">
      <c r="D39" s="140"/>
      <c r="F39" s="141"/>
      <c r="G39" s="141"/>
      <c r="J39" s="143"/>
      <c r="K39" s="140"/>
      <c r="L39" s="140"/>
      <c r="M39" s="141"/>
      <c r="N39" s="140"/>
      <c r="O39" s="417"/>
      <c r="P39" s="140"/>
      <c r="Q39" s="141"/>
      <c r="R39" s="638" t="s">
        <v>542</v>
      </c>
      <c r="S39" s="638">
        <v>4</v>
      </c>
      <c r="T39" s="140"/>
      <c r="U39" s="141"/>
      <c r="V39" s="140"/>
      <c r="W39" s="140"/>
      <c r="X39" s="141"/>
      <c r="Y39" s="482" t="s">
        <v>178</v>
      </c>
      <c r="Z39" s="361">
        <v>0</v>
      </c>
      <c r="AA39" s="361">
        <v>0</v>
      </c>
      <c r="AB39" s="482"/>
      <c r="AC39" s="358"/>
    </row>
    <row r="40" spans="3:29" ht="15" customHeight="1" x14ac:dyDescent="0.2">
      <c r="D40" s="140"/>
      <c r="F40" s="141"/>
      <c r="G40" s="141"/>
      <c r="J40" s="143"/>
      <c r="K40" s="140"/>
      <c r="L40" s="140"/>
      <c r="M40" s="141"/>
      <c r="N40" s="140"/>
      <c r="O40" s="417"/>
      <c r="P40" s="140"/>
      <c r="Q40" s="141"/>
      <c r="R40" s="638" t="s">
        <v>543</v>
      </c>
      <c r="S40" s="638">
        <v>4</v>
      </c>
      <c r="T40" s="140"/>
      <c r="U40" s="141"/>
      <c r="V40" s="140"/>
      <c r="W40" s="140"/>
      <c r="X40" s="141"/>
      <c r="Y40" s="422" t="s">
        <v>528</v>
      </c>
      <c r="Z40" s="361">
        <v>14</v>
      </c>
      <c r="AA40" s="361">
        <v>14</v>
      </c>
      <c r="AB40" s="140"/>
      <c r="AC40" s="358"/>
    </row>
    <row r="41" spans="3:29" ht="15" customHeight="1" x14ac:dyDescent="0.2">
      <c r="D41" s="140"/>
      <c r="F41" s="141"/>
      <c r="G41" s="141"/>
      <c r="J41" s="143"/>
      <c r="K41" s="140"/>
      <c r="L41" s="140"/>
      <c r="M41" s="141"/>
      <c r="N41" s="140"/>
      <c r="O41" s="417"/>
      <c r="P41" s="140"/>
      <c r="Q41" s="141"/>
      <c r="R41" s="638" t="s">
        <v>544</v>
      </c>
      <c r="S41" s="638">
        <v>6</v>
      </c>
      <c r="T41" s="140"/>
      <c r="U41" s="141"/>
      <c r="V41" s="140"/>
      <c r="W41" s="140"/>
      <c r="X41" s="141"/>
      <c r="Y41" s="422" t="s">
        <v>217</v>
      </c>
      <c r="Z41" s="361">
        <v>16</v>
      </c>
      <c r="AA41" s="361">
        <v>16</v>
      </c>
      <c r="AB41" s="140"/>
      <c r="AC41" s="358"/>
    </row>
    <row r="42" spans="3:29" x14ac:dyDescent="0.2">
      <c r="D42" s="140"/>
      <c r="F42" s="141"/>
      <c r="G42" s="141"/>
      <c r="J42" s="143"/>
      <c r="K42" s="140"/>
      <c r="L42" s="140"/>
      <c r="M42" s="141"/>
      <c r="N42" s="140"/>
      <c r="O42" s="417"/>
      <c r="P42" s="140"/>
      <c r="Q42" s="141"/>
      <c r="R42" s="638" t="s">
        <v>545</v>
      </c>
      <c r="S42" s="638">
        <v>6</v>
      </c>
      <c r="T42" s="140"/>
      <c r="U42" s="141"/>
      <c r="V42" s="140"/>
      <c r="W42" s="140"/>
      <c r="X42" s="141"/>
      <c r="Y42" s="422" t="s">
        <v>179</v>
      </c>
      <c r="Z42" s="361">
        <v>18.5</v>
      </c>
      <c r="AA42" s="361">
        <v>18.5</v>
      </c>
      <c r="AB42" s="140"/>
      <c r="AC42" s="358"/>
    </row>
    <row r="43" spans="3:29" x14ac:dyDescent="0.2">
      <c r="D43" s="140"/>
      <c r="F43" s="141"/>
      <c r="G43" s="141"/>
      <c r="J43" s="143"/>
      <c r="K43" s="140"/>
      <c r="L43" s="140"/>
      <c r="M43" s="141"/>
      <c r="N43" s="140"/>
      <c r="O43" s="417"/>
      <c r="P43" s="140"/>
      <c r="Q43" s="141"/>
      <c r="R43" s="140"/>
      <c r="S43" s="140"/>
      <c r="T43" s="140"/>
      <c r="U43" s="141"/>
      <c r="V43" s="140"/>
      <c r="W43" s="140"/>
      <c r="X43" s="141"/>
      <c r="Y43" s="422" t="s">
        <v>180</v>
      </c>
      <c r="Z43" s="361">
        <v>22</v>
      </c>
      <c r="AA43" s="361">
        <v>22</v>
      </c>
      <c r="AB43" s="140"/>
      <c r="AC43" s="358"/>
    </row>
    <row r="44" spans="3:29" x14ac:dyDescent="0.2">
      <c r="F44" s="141"/>
      <c r="G44" s="141"/>
      <c r="J44" s="143"/>
      <c r="K44" s="140"/>
      <c r="L44" s="140"/>
      <c r="M44" s="141"/>
      <c r="N44" s="140"/>
      <c r="O44" s="417"/>
      <c r="P44" s="140"/>
      <c r="Q44" s="141"/>
      <c r="R44" s="140"/>
      <c r="S44" s="140"/>
      <c r="T44" s="140"/>
      <c r="U44" s="141"/>
      <c r="V44" s="140"/>
      <c r="W44" s="140"/>
      <c r="X44" s="141"/>
      <c r="Y44" s="422" t="s">
        <v>181</v>
      </c>
      <c r="Z44" s="361">
        <v>26</v>
      </c>
      <c r="AA44" s="361">
        <v>26</v>
      </c>
      <c r="AB44" s="140"/>
      <c r="AC44" s="358"/>
    </row>
    <row r="45" spans="3:29" x14ac:dyDescent="0.2">
      <c r="F45" s="141"/>
      <c r="G45" s="141"/>
      <c r="J45" s="143"/>
      <c r="K45" s="140"/>
      <c r="L45" s="140"/>
      <c r="M45" s="141"/>
      <c r="N45" s="140"/>
      <c r="O45" s="417"/>
      <c r="P45" s="140"/>
      <c r="Q45" s="141"/>
      <c r="R45" s="140"/>
      <c r="S45" s="140"/>
      <c r="T45" s="140"/>
      <c r="U45" s="141"/>
      <c r="V45" s="140"/>
      <c r="W45" s="140"/>
      <c r="X45" s="141"/>
      <c r="Y45" s="140" t="s">
        <v>296</v>
      </c>
      <c r="Z45" s="140">
        <v>0</v>
      </c>
      <c r="AA45" s="140">
        <v>0</v>
      </c>
      <c r="AB45" s="140"/>
      <c r="AC45" s="358"/>
    </row>
    <row r="46" spans="3:29" x14ac:dyDescent="0.2">
      <c r="F46" s="141"/>
      <c r="G46" s="141"/>
      <c r="J46" s="143"/>
      <c r="K46" s="140"/>
      <c r="L46" s="140"/>
      <c r="M46" s="141"/>
      <c r="N46" s="140"/>
      <c r="O46" s="417"/>
      <c r="P46" s="140"/>
      <c r="Q46" s="141"/>
      <c r="R46" s="140"/>
      <c r="S46" s="140"/>
      <c r="T46" s="140"/>
      <c r="U46" s="141"/>
      <c r="V46" s="140"/>
      <c r="W46" s="140"/>
      <c r="X46" s="141"/>
      <c r="Y46" s="140"/>
      <c r="Z46" s="298"/>
      <c r="AA46" s="140"/>
      <c r="AB46" s="140"/>
      <c r="AC46" s="358"/>
    </row>
    <row r="47" spans="3:29" ht="12.75" thickBot="1" x14ac:dyDescent="0.25">
      <c r="G47" s="141"/>
      <c r="J47" s="143"/>
      <c r="K47" s="140"/>
      <c r="L47" s="140"/>
      <c r="M47" s="141"/>
      <c r="N47" s="140"/>
      <c r="O47" s="417"/>
      <c r="P47" s="140"/>
      <c r="Q47" s="141"/>
      <c r="R47" s="140"/>
      <c r="S47" s="140"/>
      <c r="T47" s="140"/>
      <c r="U47" s="141"/>
      <c r="V47" s="140"/>
      <c r="W47" s="140"/>
      <c r="X47" s="141"/>
      <c r="Y47" s="140"/>
      <c r="Z47" s="298"/>
      <c r="AA47" s="140"/>
      <c r="AB47" s="140"/>
      <c r="AC47" s="358"/>
    </row>
    <row r="48" spans="3:29" x14ac:dyDescent="0.2">
      <c r="G48" s="141"/>
      <c r="J48" s="143"/>
      <c r="K48" s="140"/>
      <c r="L48" s="140"/>
      <c r="M48" s="141"/>
      <c r="N48" s="140"/>
      <c r="O48" s="417"/>
      <c r="P48" s="140"/>
      <c r="Q48" s="141"/>
      <c r="R48" s="140"/>
      <c r="S48" s="140"/>
      <c r="T48" s="140"/>
      <c r="U48" s="141"/>
      <c r="V48" s="140"/>
      <c r="W48" s="140"/>
      <c r="X48" s="141"/>
      <c r="Y48" s="405" t="s">
        <v>390</v>
      </c>
      <c r="Z48" s="298"/>
      <c r="AA48" s="140"/>
      <c r="AB48" s="140"/>
      <c r="AC48" s="358"/>
    </row>
    <row r="49" spans="7:29" x14ac:dyDescent="0.2">
      <c r="G49" s="141"/>
      <c r="J49" s="143"/>
      <c r="K49" s="140"/>
      <c r="L49" s="140"/>
      <c r="M49" s="141"/>
      <c r="N49" s="140"/>
      <c r="O49" s="417"/>
      <c r="P49" s="140"/>
      <c r="Q49" s="141"/>
      <c r="R49" s="140"/>
      <c r="S49" s="140"/>
      <c r="T49" s="140"/>
      <c r="U49" s="141"/>
      <c r="V49" s="140"/>
      <c r="W49" s="140"/>
      <c r="X49" s="141"/>
      <c r="Y49" s="301" t="s">
        <v>223</v>
      </c>
      <c r="AA49" s="360">
        <v>6</v>
      </c>
      <c r="AC49" s="358"/>
    </row>
    <row r="50" spans="7:29" x14ac:dyDescent="0.2">
      <c r="G50" s="141"/>
      <c r="J50" s="143"/>
      <c r="K50" s="140"/>
      <c r="L50" s="140"/>
      <c r="M50" s="141"/>
      <c r="N50" s="140"/>
      <c r="O50" s="417"/>
      <c r="P50" s="140"/>
      <c r="Q50" s="141"/>
      <c r="R50" s="140"/>
      <c r="S50" s="140"/>
      <c r="T50" s="140"/>
      <c r="U50" s="141"/>
      <c r="V50" s="140"/>
      <c r="W50" s="140"/>
      <c r="X50" s="141"/>
      <c r="Y50" s="301" t="s">
        <v>224</v>
      </c>
      <c r="AA50" s="361">
        <v>8.5</v>
      </c>
      <c r="AC50" s="358"/>
    </row>
    <row r="51" spans="7:29" x14ac:dyDescent="0.2">
      <c r="G51" s="141"/>
      <c r="J51" s="143"/>
      <c r="K51" s="140"/>
      <c r="L51" s="140"/>
      <c r="M51" s="141"/>
      <c r="N51" s="140"/>
      <c r="O51" s="417"/>
      <c r="P51" s="140"/>
      <c r="Q51" s="141"/>
      <c r="R51" s="140"/>
      <c r="S51" s="140"/>
      <c r="T51" s="140"/>
      <c r="U51" s="141"/>
      <c r="V51" s="140"/>
      <c r="W51" s="140"/>
      <c r="X51" s="141"/>
      <c r="Y51" s="421" t="s">
        <v>220</v>
      </c>
      <c r="AA51" s="361">
        <v>10</v>
      </c>
      <c r="AC51" s="358"/>
    </row>
    <row r="52" spans="7:29" x14ac:dyDescent="0.2">
      <c r="G52" s="141"/>
      <c r="J52" s="143"/>
      <c r="K52" s="140"/>
      <c r="L52" s="140"/>
      <c r="M52" s="141"/>
      <c r="N52" s="140"/>
      <c r="O52" s="417"/>
      <c r="P52" s="140"/>
      <c r="Q52" s="141"/>
      <c r="R52" s="140"/>
      <c r="S52" s="140"/>
      <c r="T52" s="140"/>
      <c r="U52" s="141"/>
      <c r="V52" s="140"/>
      <c r="W52" s="140"/>
      <c r="X52" s="141"/>
      <c r="Y52" s="421" t="s">
        <v>274</v>
      </c>
      <c r="AA52" s="361">
        <v>6</v>
      </c>
      <c r="AC52" s="358"/>
    </row>
    <row r="53" spans="7:29" x14ac:dyDescent="0.2">
      <c r="G53" s="141"/>
      <c r="J53" s="143"/>
      <c r="K53" s="140"/>
      <c r="L53" s="140"/>
      <c r="M53" s="141"/>
      <c r="N53" s="140"/>
      <c r="O53" s="417"/>
      <c r="P53" s="140"/>
      <c r="Q53" s="141"/>
      <c r="T53" s="140"/>
      <c r="U53" s="141"/>
      <c r="V53" s="140"/>
      <c r="W53" s="140"/>
      <c r="X53" s="141"/>
      <c r="Y53" s="301" t="s">
        <v>225</v>
      </c>
      <c r="AA53" s="361">
        <v>5.5</v>
      </c>
      <c r="AC53" s="358"/>
    </row>
    <row r="54" spans="7:29" x14ac:dyDescent="0.2">
      <c r="G54" s="141"/>
      <c r="J54" s="143"/>
      <c r="K54" s="140"/>
      <c r="L54" s="140"/>
      <c r="M54" s="141"/>
      <c r="N54" s="140"/>
      <c r="O54" s="417"/>
      <c r="P54" s="140"/>
      <c r="Q54" s="141"/>
      <c r="T54" s="140"/>
      <c r="U54" s="141"/>
      <c r="V54" s="140"/>
      <c r="W54" s="140"/>
      <c r="X54" s="141"/>
      <c r="Y54" s="301" t="s">
        <v>226</v>
      </c>
      <c r="AA54" s="361">
        <v>8.5</v>
      </c>
      <c r="AC54" s="358"/>
    </row>
    <row r="55" spans="7:29" x14ac:dyDescent="0.2">
      <c r="G55" s="141"/>
      <c r="J55" s="143"/>
      <c r="K55" s="140"/>
      <c r="L55" s="140"/>
      <c r="M55" s="141"/>
      <c r="N55" s="140"/>
      <c r="O55" s="417"/>
      <c r="P55" s="140"/>
      <c r="Q55" s="141"/>
      <c r="T55" s="140"/>
      <c r="U55" s="141"/>
      <c r="V55" s="140"/>
      <c r="W55" s="140"/>
      <c r="X55" s="141"/>
      <c r="Y55" s="421" t="s">
        <v>273</v>
      </c>
      <c r="AA55" s="361">
        <v>6.5</v>
      </c>
      <c r="AC55" s="358"/>
    </row>
    <row r="56" spans="7:29" x14ac:dyDescent="0.2">
      <c r="G56" s="141"/>
      <c r="J56" s="141"/>
      <c r="K56" s="140"/>
      <c r="L56" s="140"/>
      <c r="M56" s="141"/>
      <c r="N56" s="140"/>
      <c r="O56" s="417"/>
      <c r="P56" s="140"/>
      <c r="Q56" s="141"/>
      <c r="T56" s="140"/>
      <c r="U56" s="141"/>
      <c r="V56" s="140"/>
      <c r="W56" s="140"/>
      <c r="X56" s="141"/>
      <c r="Y56" s="421" t="s">
        <v>212</v>
      </c>
      <c r="AA56" s="361">
        <v>7</v>
      </c>
      <c r="AC56" s="358"/>
    </row>
    <row r="57" spans="7:29" x14ac:dyDescent="0.2">
      <c r="G57" s="141"/>
      <c r="J57" s="141"/>
      <c r="K57" s="140"/>
      <c r="L57" s="140"/>
      <c r="M57" s="141"/>
      <c r="N57" s="140"/>
      <c r="O57" s="417"/>
      <c r="P57" s="140"/>
      <c r="Q57" s="141"/>
      <c r="T57" s="140"/>
      <c r="U57" s="141"/>
      <c r="V57" s="140"/>
      <c r="W57" s="140"/>
      <c r="X57" s="141"/>
      <c r="Y57" s="421" t="s">
        <v>221</v>
      </c>
      <c r="AA57" s="361">
        <v>10</v>
      </c>
      <c r="AC57" s="358"/>
    </row>
    <row r="58" spans="7:29" x14ac:dyDescent="0.2">
      <c r="G58" s="141"/>
      <c r="J58" s="141"/>
      <c r="M58" s="141"/>
      <c r="N58" s="140"/>
      <c r="O58" s="417"/>
      <c r="P58" s="140"/>
      <c r="Q58" s="141"/>
      <c r="T58" s="140"/>
      <c r="U58" s="141"/>
      <c r="V58" s="140"/>
      <c r="W58" s="140"/>
      <c r="X58" s="141"/>
      <c r="Y58" s="421" t="s">
        <v>230</v>
      </c>
      <c r="AA58" s="361">
        <v>3.5</v>
      </c>
      <c r="AC58" s="358"/>
    </row>
    <row r="59" spans="7:29" x14ac:dyDescent="0.2">
      <c r="N59" s="140"/>
      <c r="O59" s="417"/>
      <c r="P59" s="140"/>
      <c r="T59" s="140"/>
      <c r="V59" s="140"/>
      <c r="W59" s="140"/>
      <c r="Y59" s="301" t="s">
        <v>228</v>
      </c>
      <c r="AA59" s="361">
        <v>5.5</v>
      </c>
      <c r="AB59" s="140"/>
      <c r="AC59" s="358"/>
    </row>
    <row r="60" spans="7:29" x14ac:dyDescent="0.2">
      <c r="N60" s="140"/>
      <c r="O60" s="417"/>
      <c r="P60" s="140"/>
      <c r="T60" s="140"/>
      <c r="V60" s="140"/>
      <c r="W60" s="140"/>
      <c r="Y60" s="301" t="s">
        <v>229</v>
      </c>
      <c r="AA60" s="361">
        <v>9</v>
      </c>
      <c r="AB60" s="140"/>
      <c r="AC60" s="358"/>
    </row>
    <row r="61" spans="7:29" x14ac:dyDescent="0.2">
      <c r="N61" s="140"/>
      <c r="O61" s="417"/>
      <c r="P61" s="140"/>
      <c r="T61" s="140"/>
      <c r="Y61" s="421" t="s">
        <v>211</v>
      </c>
      <c r="AA61" s="361">
        <v>10</v>
      </c>
      <c r="AB61" s="140"/>
      <c r="AC61" s="358"/>
    </row>
    <row r="62" spans="7:29" x14ac:dyDescent="0.2">
      <c r="N62" s="140"/>
      <c r="O62" s="417"/>
      <c r="P62" s="140"/>
      <c r="T62" s="140"/>
      <c r="Y62" s="421" t="s">
        <v>829</v>
      </c>
      <c r="AA62" s="361">
        <v>11</v>
      </c>
      <c r="AB62" s="140"/>
      <c r="AC62" s="358"/>
    </row>
    <row r="63" spans="7:29" x14ac:dyDescent="0.2">
      <c r="N63" s="140"/>
      <c r="O63" s="417"/>
      <c r="P63" s="140"/>
      <c r="T63" s="140"/>
      <c r="Y63" s="501" t="s">
        <v>222</v>
      </c>
      <c r="AA63" s="483">
        <v>7</v>
      </c>
      <c r="AB63" s="485"/>
      <c r="AC63" s="358"/>
    </row>
    <row r="64" spans="7:29" x14ac:dyDescent="0.2">
      <c r="N64" s="140"/>
      <c r="O64" s="417"/>
      <c r="P64" s="140"/>
      <c r="T64" s="140"/>
      <c r="Y64" s="474" t="s">
        <v>354</v>
      </c>
      <c r="Z64" s="475"/>
      <c r="AA64" s="476">
        <v>100</v>
      </c>
      <c r="AB64" s="486">
        <v>70</v>
      </c>
      <c r="AC64" s="358"/>
    </row>
    <row r="65" spans="14:29" x14ac:dyDescent="0.2">
      <c r="N65" s="140"/>
      <c r="O65" s="417"/>
      <c r="P65" s="140"/>
      <c r="T65" s="140"/>
      <c r="Y65" s="474" t="s">
        <v>355</v>
      </c>
      <c r="Z65" s="475"/>
      <c r="AA65" s="476">
        <v>100</v>
      </c>
      <c r="AB65" s="486">
        <v>70</v>
      </c>
      <c r="AC65" s="358"/>
    </row>
    <row r="66" spans="14:29" x14ac:dyDescent="0.2">
      <c r="N66" s="140"/>
      <c r="O66" s="417"/>
      <c r="T66" s="140"/>
      <c r="Y66" s="477" t="s">
        <v>356</v>
      </c>
      <c r="Z66" s="369"/>
      <c r="AA66" s="276">
        <v>100</v>
      </c>
      <c r="AB66" s="487">
        <v>70</v>
      </c>
    </row>
    <row r="67" spans="14:29" x14ac:dyDescent="0.2">
      <c r="T67" s="140"/>
      <c r="Y67" s="477" t="s">
        <v>357</v>
      </c>
      <c r="Z67" s="369"/>
      <c r="AA67" s="276">
        <v>100</v>
      </c>
      <c r="AB67" s="487">
        <v>70</v>
      </c>
    </row>
    <row r="68" spans="14:29" x14ac:dyDescent="0.2">
      <c r="Y68" s="477" t="s">
        <v>358</v>
      </c>
      <c r="Z68" s="369"/>
      <c r="AA68" s="276">
        <v>100</v>
      </c>
      <c r="AB68" s="487">
        <v>70</v>
      </c>
    </row>
    <row r="69" spans="14:29" x14ac:dyDescent="0.2">
      <c r="Y69" s="477" t="s">
        <v>359</v>
      </c>
      <c r="Z69" s="369"/>
      <c r="AA69" s="276">
        <v>100</v>
      </c>
      <c r="AB69" s="487">
        <v>70</v>
      </c>
    </row>
    <row r="70" spans="14:29" x14ac:dyDescent="0.2">
      <c r="Y70" s="477" t="s">
        <v>360</v>
      </c>
      <c r="Z70" s="369"/>
      <c r="AA70" s="276">
        <v>100</v>
      </c>
      <c r="AB70" s="487">
        <v>70</v>
      </c>
    </row>
    <row r="71" spans="14:29" x14ac:dyDescent="0.2">
      <c r="Y71" s="477" t="s">
        <v>361</v>
      </c>
      <c r="Z71" s="369"/>
      <c r="AA71" s="276">
        <v>100</v>
      </c>
      <c r="AB71" s="487">
        <v>70</v>
      </c>
    </row>
    <row r="72" spans="14:29" x14ac:dyDescent="0.2">
      <c r="Y72" s="477" t="s">
        <v>362</v>
      </c>
      <c r="Z72" s="369"/>
      <c r="AA72" s="276">
        <v>100</v>
      </c>
      <c r="AB72" s="487">
        <v>70</v>
      </c>
    </row>
    <row r="73" spans="14:29" x14ac:dyDescent="0.2">
      <c r="Y73" s="477" t="s">
        <v>363</v>
      </c>
      <c r="Z73" s="369"/>
      <c r="AA73" s="276">
        <v>100</v>
      </c>
      <c r="AB73" s="487">
        <v>70</v>
      </c>
    </row>
    <row r="74" spans="14:29" x14ac:dyDescent="0.2">
      <c r="Y74" s="477" t="s">
        <v>364</v>
      </c>
      <c r="Z74" s="369"/>
      <c r="AA74" s="276">
        <v>100</v>
      </c>
      <c r="AB74" s="487">
        <v>70</v>
      </c>
    </row>
    <row r="75" spans="14:29" x14ac:dyDescent="0.2">
      <c r="Y75" s="477" t="s">
        <v>365</v>
      </c>
      <c r="Z75" s="369"/>
      <c r="AA75" s="276">
        <v>100</v>
      </c>
      <c r="AB75" s="487">
        <v>70</v>
      </c>
    </row>
    <row r="76" spans="14:29" x14ac:dyDescent="0.2">
      <c r="Y76" s="477" t="s">
        <v>366</v>
      </c>
      <c r="Z76" s="369"/>
      <c r="AA76" s="276">
        <v>100</v>
      </c>
      <c r="AB76" s="487">
        <v>70</v>
      </c>
    </row>
    <row r="77" spans="14:29" x14ac:dyDescent="0.2">
      <c r="Y77" s="477" t="s">
        <v>367</v>
      </c>
      <c r="Z77" s="369"/>
      <c r="AA77" s="276">
        <v>100</v>
      </c>
      <c r="AB77" s="487">
        <v>70</v>
      </c>
    </row>
    <row r="78" spans="14:29" x14ac:dyDescent="0.2">
      <c r="Y78" s="478" t="s">
        <v>368</v>
      </c>
      <c r="Z78" s="479"/>
      <c r="AA78" s="480">
        <v>100</v>
      </c>
      <c r="AB78" s="488">
        <v>70</v>
      </c>
    </row>
    <row r="79" spans="14:29" x14ac:dyDescent="0.2">
      <c r="Y79" s="478" t="s">
        <v>369</v>
      </c>
      <c r="Z79" s="479"/>
      <c r="AA79" s="480">
        <v>100</v>
      </c>
      <c r="AB79" s="488">
        <v>70</v>
      </c>
    </row>
    <row r="80" spans="14:29" x14ac:dyDescent="0.2">
      <c r="Y80" s="482" t="s">
        <v>178</v>
      </c>
      <c r="Z80" s="361">
        <v>0</v>
      </c>
      <c r="AA80" s="361">
        <v>0</v>
      </c>
      <c r="AB80" s="482"/>
    </row>
    <row r="81" spans="25:28" x14ac:dyDescent="0.2">
      <c r="Y81" s="422" t="s">
        <v>528</v>
      </c>
      <c r="Z81" s="372">
        <v>7</v>
      </c>
      <c r="AA81" s="361">
        <v>7</v>
      </c>
      <c r="AB81" s="140"/>
    </row>
    <row r="82" spans="25:28" x14ac:dyDescent="0.2">
      <c r="Y82" s="422" t="s">
        <v>217</v>
      </c>
      <c r="Z82" s="372">
        <v>8.5</v>
      </c>
      <c r="AA82" s="361">
        <v>8.5</v>
      </c>
      <c r="AB82" s="140"/>
    </row>
    <row r="83" spans="25:28" x14ac:dyDescent="0.2">
      <c r="Y83" s="422" t="s">
        <v>179</v>
      </c>
      <c r="Z83" s="372">
        <v>10</v>
      </c>
      <c r="AA83" s="361">
        <v>10</v>
      </c>
      <c r="AB83" s="140"/>
    </row>
    <row r="84" spans="25:28" x14ac:dyDescent="0.2">
      <c r="Y84" s="422" t="s">
        <v>180</v>
      </c>
      <c r="Z84" s="372">
        <v>12</v>
      </c>
      <c r="AA84" s="361">
        <v>12</v>
      </c>
      <c r="AB84" s="140"/>
    </row>
    <row r="85" spans="25:28" x14ac:dyDescent="0.2">
      <c r="Y85" s="422" t="s">
        <v>181</v>
      </c>
      <c r="Z85" s="372">
        <v>13</v>
      </c>
      <c r="AA85" s="361">
        <v>13</v>
      </c>
      <c r="AB85" s="140"/>
    </row>
  </sheetData>
  <sheetProtection selectLockedCells="1" selectUnlockedCells="1"/>
  <dataConsolidate/>
  <customSheetViews>
    <customSheetView guid="{554C7132-FEB4-4016-AC1F-AA27B41C0DFC}" scale="75" showGridLines="0" fitToPage="1" topLeftCell="S3">
      <selection activeCell="Y11" sqref="Y11"/>
      <pageMargins left="0.17" right="0.75" top="0.28000000000000003" bottom="1" header="0.17" footer="0.5"/>
      <pageSetup paperSize="9" scale="47" fitToWidth="2" orientation="landscape" horizontalDpi="1200" verticalDpi="1200" r:id="rId1"/>
      <headerFooter alignWithMargins="0"/>
    </customSheetView>
  </customSheetViews>
  <mergeCells count="3">
    <mergeCell ref="K1:L1"/>
    <mergeCell ref="N1:O1"/>
    <mergeCell ref="D1:E1"/>
  </mergeCell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B59 AB13 V13:W13 AC15 AE5:AF5 K5:L5 M6 J56 H12:I12 N19:O19" xr:uid="{00000000-0002-0000-0B00-000000000000}">
      <formula1>0</formula1>
    </dataValidation>
  </dataValidations>
  <pageMargins left="0.17" right="0.75" top="0.28000000000000003" bottom="1" header="0.17" footer="0.5"/>
  <pageSetup paperSize="9" scale="44" fitToWidth="2" orientation="landscape" horizontalDpi="1200" verticalDpi="1200" r:id="rId2"/>
  <headerFooter alignWithMargins="0"/>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BZ90"/>
  <sheetViews>
    <sheetView showGridLines="0" topLeftCell="CA1" zoomScale="75" workbookViewId="0">
      <selection sqref="A1:BZ1048576"/>
    </sheetView>
  </sheetViews>
  <sheetFormatPr defaultRowHeight="12.75" x14ac:dyDescent="0.2"/>
  <cols>
    <col min="1" max="1" width="8.88671875" style="147" hidden="1" customWidth="1"/>
    <col min="2" max="2" width="2.88671875" style="147" hidden="1" customWidth="1"/>
    <col min="3" max="3" width="5.21875" style="148" hidden="1" customWidth="1"/>
    <col min="4" max="4" width="22.5546875" style="147" hidden="1" customWidth="1"/>
    <col min="5" max="5" width="10.6640625" style="147" hidden="1" customWidth="1"/>
    <col min="6" max="6" width="18" style="147" hidden="1" customWidth="1"/>
    <col min="7" max="7" width="4.33203125" style="148" hidden="1" customWidth="1"/>
    <col min="8" max="8" width="14.88671875" style="147" hidden="1" customWidth="1"/>
    <col min="9" max="9" width="8.109375" style="147" hidden="1" customWidth="1"/>
    <col min="10" max="10" width="4.77734375" style="148" hidden="1" customWidth="1"/>
    <col min="11" max="11" width="6.21875" style="147" hidden="1" customWidth="1"/>
    <col min="12" max="12" width="7.109375" style="147" hidden="1" customWidth="1"/>
    <col min="13" max="13" width="4.77734375" style="148" hidden="1" customWidth="1"/>
    <col min="14" max="14" width="24.88671875" style="147" hidden="1" customWidth="1"/>
    <col min="15" max="15" width="12.109375" style="8" hidden="1" customWidth="1"/>
    <col min="16" max="16" width="12" style="147" hidden="1" customWidth="1"/>
    <col min="17" max="17" width="4.44140625" style="148" hidden="1" customWidth="1"/>
    <col min="18" max="18" width="10.109375" style="147" hidden="1" customWidth="1"/>
    <col min="19" max="19" width="7.21875" style="147" hidden="1" customWidth="1"/>
    <col min="20" max="20" width="13" style="147" hidden="1" customWidth="1"/>
    <col min="21" max="21" width="4" style="148" hidden="1" customWidth="1"/>
    <col min="22" max="23" width="10.33203125" style="147" hidden="1" customWidth="1"/>
    <col min="24" max="24" width="4.33203125" style="148" hidden="1" customWidth="1"/>
    <col min="25" max="25" width="20.6640625" style="147" hidden="1" customWidth="1"/>
    <col min="26" max="27" width="13.5546875" style="147" hidden="1" customWidth="1"/>
    <col min="28" max="28" width="17.6640625" style="147" hidden="1" customWidth="1"/>
    <col min="29" max="29" width="12" style="147" hidden="1" customWidth="1"/>
    <col min="30" max="31" width="15.109375" style="147" hidden="1" customWidth="1"/>
    <col min="32" max="78" width="8.88671875" style="147" hidden="1" customWidth="1"/>
    <col min="79" max="16384" width="8.88671875" style="147"/>
  </cols>
  <sheetData>
    <row r="1" spans="2:34" ht="13.5" thickBot="1" x14ac:dyDescent="0.25">
      <c r="B1" s="146" t="s">
        <v>69</v>
      </c>
      <c r="D1" s="1540" t="s">
        <v>72</v>
      </c>
      <c r="E1" s="1540"/>
      <c r="F1" s="149"/>
      <c r="K1" s="1540" t="s">
        <v>70</v>
      </c>
      <c r="L1" s="1540"/>
      <c r="N1" s="1540" t="s">
        <v>71</v>
      </c>
      <c r="O1" s="1540"/>
      <c r="Y1" s="150" t="s">
        <v>76</v>
      </c>
      <c r="Z1" s="150"/>
      <c r="AA1" s="150"/>
      <c r="AC1" s="150" t="s">
        <v>77</v>
      </c>
      <c r="AD1" s="150"/>
    </row>
    <row r="2" spans="2:34" ht="36" x14ac:dyDescent="0.2">
      <c r="C2" s="152"/>
      <c r="D2" s="151" t="s">
        <v>1</v>
      </c>
      <c r="E2" s="151" t="s">
        <v>67</v>
      </c>
      <c r="F2" s="36" t="s">
        <v>168</v>
      </c>
      <c r="G2" s="152"/>
      <c r="H2" s="151" t="s">
        <v>2</v>
      </c>
      <c r="I2" s="151" t="s">
        <v>73</v>
      </c>
      <c r="J2" s="152"/>
      <c r="K2" s="151" t="s">
        <v>40</v>
      </c>
      <c r="L2" s="151" t="s">
        <v>66</v>
      </c>
      <c r="M2" s="152"/>
      <c r="N2" s="151" t="s">
        <v>3</v>
      </c>
      <c r="O2" s="9" t="s">
        <v>173</v>
      </c>
      <c r="P2" s="151" t="s">
        <v>55</v>
      </c>
      <c r="Q2" s="152"/>
      <c r="R2" s="151" t="s">
        <v>14</v>
      </c>
      <c r="S2" s="151" t="s">
        <v>25</v>
      </c>
      <c r="T2" s="151" t="s">
        <v>15</v>
      </c>
      <c r="U2" s="152"/>
      <c r="V2" s="151" t="s">
        <v>16</v>
      </c>
      <c r="W2" s="151" t="s">
        <v>68</v>
      </c>
      <c r="X2" s="152"/>
      <c r="Y2" s="151" t="s">
        <v>26</v>
      </c>
      <c r="Z2" s="208" t="s">
        <v>174</v>
      </c>
      <c r="AA2" s="208" t="s">
        <v>142</v>
      </c>
      <c r="AC2" s="151" t="s">
        <v>39</v>
      </c>
      <c r="AD2" s="273" t="s">
        <v>272</v>
      </c>
      <c r="AE2" s="154" t="s">
        <v>83</v>
      </c>
      <c r="AF2" s="155" t="s">
        <v>73</v>
      </c>
      <c r="AG2" s="275" t="s">
        <v>237</v>
      </c>
      <c r="AH2" s="275" t="s">
        <v>242</v>
      </c>
    </row>
    <row r="3" spans="2:34" x14ac:dyDescent="0.2">
      <c r="C3" s="152"/>
      <c r="D3" s="153"/>
      <c r="E3" s="153"/>
      <c r="F3" s="153"/>
      <c r="G3" s="152"/>
      <c r="H3" s="374" t="s">
        <v>74</v>
      </c>
      <c r="I3" s="375" t="s">
        <v>115</v>
      </c>
      <c r="J3" s="152"/>
      <c r="K3" s="153"/>
      <c r="L3" s="153"/>
      <c r="M3" s="152"/>
      <c r="N3" s="153"/>
      <c r="O3" s="36"/>
      <c r="P3" s="153"/>
      <c r="Q3" s="152"/>
      <c r="R3" s="153"/>
      <c r="S3" s="153"/>
      <c r="T3" s="153"/>
      <c r="U3" s="152"/>
      <c r="V3" s="153"/>
      <c r="W3" s="153"/>
      <c r="X3" s="152"/>
      <c r="Y3" s="153"/>
      <c r="Z3" s="209"/>
      <c r="AA3" s="209"/>
      <c r="AC3" s="153"/>
      <c r="AD3" s="362"/>
      <c r="AE3" s="156"/>
      <c r="AF3" s="157"/>
      <c r="AG3" s="275"/>
      <c r="AH3" s="275"/>
    </row>
    <row r="4" spans="2:34" ht="15" customHeight="1" x14ac:dyDescent="0.2">
      <c r="B4" s="147">
        <v>1</v>
      </c>
      <c r="C4" s="158"/>
      <c r="D4" s="7" t="s">
        <v>49</v>
      </c>
      <c r="E4" s="159">
        <v>0</v>
      </c>
      <c r="F4" s="160" t="s">
        <v>170</v>
      </c>
      <c r="G4" s="160"/>
      <c r="H4" s="161" t="s">
        <v>144</v>
      </c>
      <c r="I4" s="162">
        <v>208</v>
      </c>
      <c r="J4" s="163"/>
      <c r="K4" s="161" t="s">
        <v>64</v>
      </c>
      <c r="L4" s="332">
        <v>0</v>
      </c>
      <c r="M4" s="163"/>
      <c r="N4" s="165" t="s">
        <v>4</v>
      </c>
      <c r="O4" s="35">
        <v>0</v>
      </c>
      <c r="P4" s="159">
        <v>2</v>
      </c>
      <c r="Q4" s="160"/>
      <c r="R4" s="159" t="s">
        <v>17</v>
      </c>
      <c r="S4" s="159">
        <v>1</v>
      </c>
      <c r="T4" s="7" t="s">
        <v>197</v>
      </c>
      <c r="U4" s="160"/>
      <c r="V4" s="159" t="s">
        <v>58</v>
      </c>
      <c r="W4" s="162">
        <v>11</v>
      </c>
      <c r="X4" s="160"/>
      <c r="Y4" s="284" t="s">
        <v>218</v>
      </c>
      <c r="AA4" s="204">
        <v>11.5</v>
      </c>
      <c r="AC4" s="280" t="s">
        <v>207</v>
      </c>
      <c r="AD4" s="366">
        <v>0</v>
      </c>
      <c r="AE4" s="166" t="s">
        <v>85</v>
      </c>
      <c r="AF4" s="167">
        <v>0</v>
      </c>
      <c r="AG4" s="585" t="s">
        <v>457</v>
      </c>
      <c r="AH4" s="212">
        <v>3.75</v>
      </c>
    </row>
    <row r="5" spans="2:34" ht="15" customHeight="1" x14ac:dyDescent="0.2">
      <c r="B5" s="147">
        <f t="shared" ref="B5:B15" si="0">SUM(B4+1)</f>
        <v>2</v>
      </c>
      <c r="C5" s="158"/>
      <c r="D5" s="7" t="s">
        <v>832</v>
      </c>
      <c r="E5" s="159">
        <v>0</v>
      </c>
      <c r="F5" s="160" t="s">
        <v>171</v>
      </c>
      <c r="G5" s="160"/>
      <c r="H5" s="161" t="s">
        <v>145</v>
      </c>
      <c r="I5" s="162">
        <v>208</v>
      </c>
      <c r="J5" s="163"/>
      <c r="K5" s="161"/>
      <c r="L5" s="162"/>
      <c r="M5" s="163"/>
      <c r="N5" s="165" t="s">
        <v>6</v>
      </c>
      <c r="O5" s="35">
        <v>0</v>
      </c>
      <c r="P5" s="159">
        <v>1</v>
      </c>
      <c r="Q5" s="160"/>
      <c r="R5" s="159" t="s">
        <v>18</v>
      </c>
      <c r="S5" s="159">
        <v>1</v>
      </c>
      <c r="T5" s="7" t="s">
        <v>198</v>
      </c>
      <c r="U5" s="160"/>
      <c r="V5" s="159"/>
      <c r="W5" s="159"/>
      <c r="X5" s="160"/>
      <c r="Y5" s="200" t="s">
        <v>219</v>
      </c>
      <c r="AA5" s="205">
        <v>15</v>
      </c>
      <c r="AC5" s="280" t="s">
        <v>854</v>
      </c>
      <c r="AD5" s="365">
        <v>8</v>
      </c>
      <c r="AG5" s="585" t="s">
        <v>458</v>
      </c>
      <c r="AH5" s="212">
        <v>3.75</v>
      </c>
    </row>
    <row r="6" spans="2:34" ht="15" customHeight="1" x14ac:dyDescent="0.2">
      <c r="B6" s="147">
        <f t="shared" si="0"/>
        <v>3</v>
      </c>
      <c r="C6" s="158"/>
      <c r="D6" s="638" t="s">
        <v>716</v>
      </c>
      <c r="E6" s="639">
        <v>0</v>
      </c>
      <c r="F6" s="550" t="s">
        <v>171</v>
      </c>
      <c r="G6" s="160"/>
      <c r="H6" s="161" t="s">
        <v>146</v>
      </c>
      <c r="I6" s="162">
        <v>208</v>
      </c>
      <c r="J6" s="163"/>
      <c r="K6" s="161"/>
      <c r="L6" s="164"/>
      <c r="M6" s="163"/>
      <c r="N6" s="165" t="s">
        <v>5</v>
      </c>
      <c r="O6" s="35">
        <v>0</v>
      </c>
      <c r="P6" s="159">
        <v>1</v>
      </c>
      <c r="Q6" s="160"/>
      <c r="R6" s="159" t="s">
        <v>19</v>
      </c>
      <c r="S6" s="159">
        <v>2</v>
      </c>
      <c r="T6" s="7" t="s">
        <v>200</v>
      </c>
      <c r="U6" s="160"/>
      <c r="V6" s="159"/>
      <c r="W6" s="159"/>
      <c r="X6" s="160"/>
      <c r="Y6" s="200" t="s">
        <v>209</v>
      </c>
      <c r="AA6" s="205">
        <v>11.5</v>
      </c>
      <c r="AC6" s="280" t="s">
        <v>855</v>
      </c>
      <c r="AD6" s="366">
        <v>8</v>
      </c>
      <c r="AG6" s="585" t="s">
        <v>459</v>
      </c>
      <c r="AH6" s="212">
        <v>3.75</v>
      </c>
    </row>
    <row r="7" spans="2:34" ht="15" customHeight="1" thickBot="1" x14ac:dyDescent="0.25">
      <c r="B7" s="147">
        <f t="shared" si="0"/>
        <v>4</v>
      </c>
      <c r="C7" s="158"/>
      <c r="D7" s="7" t="s">
        <v>50</v>
      </c>
      <c r="E7" s="159">
        <v>0</v>
      </c>
      <c r="F7" s="160" t="s">
        <v>171</v>
      </c>
      <c r="G7" s="160"/>
      <c r="H7" s="161" t="s">
        <v>90</v>
      </c>
      <c r="I7" s="162">
        <v>208</v>
      </c>
      <c r="J7" s="163"/>
      <c r="K7" s="161"/>
      <c r="L7" s="161"/>
      <c r="M7" s="163"/>
      <c r="N7" s="7" t="s">
        <v>175</v>
      </c>
      <c r="O7" s="276">
        <v>51.5</v>
      </c>
      <c r="P7" s="7">
        <v>1</v>
      </c>
      <c r="Q7" s="160"/>
      <c r="R7" s="159" t="s">
        <v>20</v>
      </c>
      <c r="S7" s="159">
        <v>2</v>
      </c>
      <c r="T7" s="159"/>
      <c r="U7" s="160"/>
      <c r="V7" s="159"/>
      <c r="W7" s="159"/>
      <c r="X7" s="160"/>
      <c r="Y7" s="200" t="s">
        <v>210</v>
      </c>
      <c r="AA7" s="205">
        <v>15</v>
      </c>
      <c r="AC7" s="280" t="s">
        <v>203</v>
      </c>
      <c r="AD7" s="366">
        <v>18.5</v>
      </c>
      <c r="AG7" s="585" t="s">
        <v>460</v>
      </c>
      <c r="AH7" s="212">
        <v>3.75</v>
      </c>
    </row>
    <row r="8" spans="2:34" ht="15" customHeight="1" x14ac:dyDescent="0.2">
      <c r="B8" s="147">
        <f t="shared" si="0"/>
        <v>5</v>
      </c>
      <c r="C8" s="158"/>
      <c r="D8" s="7" t="s">
        <v>75</v>
      </c>
      <c r="E8" s="159">
        <v>0</v>
      </c>
      <c r="F8" s="160" t="s">
        <v>171</v>
      </c>
      <c r="G8" s="160"/>
      <c r="H8" s="161" t="s">
        <v>94</v>
      </c>
      <c r="I8" s="162">
        <v>208</v>
      </c>
      <c r="J8" s="163"/>
      <c r="K8" s="161"/>
      <c r="L8" s="161"/>
      <c r="M8" s="163"/>
      <c r="N8" s="7" t="s">
        <v>176</v>
      </c>
      <c r="O8" s="276">
        <v>51.5</v>
      </c>
      <c r="P8" s="7">
        <v>1</v>
      </c>
      <c r="Q8" s="160"/>
      <c r="R8" s="159" t="s">
        <v>21</v>
      </c>
      <c r="S8" s="159">
        <v>2</v>
      </c>
      <c r="T8" s="436" t="s">
        <v>604</v>
      </c>
      <c r="U8" s="160"/>
      <c r="V8" s="159"/>
      <c r="W8" s="159"/>
      <c r="X8" s="160"/>
      <c r="Y8" s="200" t="s">
        <v>273</v>
      </c>
      <c r="AA8" s="205">
        <v>12.5</v>
      </c>
      <c r="AB8" s="495"/>
      <c r="AC8" s="280" t="s">
        <v>202</v>
      </c>
      <c r="AD8" s="366">
        <v>30</v>
      </c>
      <c r="AG8" s="585" t="s">
        <v>461</v>
      </c>
      <c r="AH8" s="212">
        <v>3.75</v>
      </c>
    </row>
    <row r="9" spans="2:34" ht="15" customHeight="1" x14ac:dyDescent="0.2">
      <c r="B9" s="147">
        <f t="shared" si="0"/>
        <v>6</v>
      </c>
      <c r="C9" s="158"/>
      <c r="D9" s="7" t="s">
        <v>316</v>
      </c>
      <c r="E9" s="159">
        <v>19</v>
      </c>
      <c r="F9" s="160" t="s">
        <v>169</v>
      </c>
      <c r="G9" s="160"/>
      <c r="H9" s="161" t="s">
        <v>96</v>
      </c>
      <c r="I9" s="162">
        <v>208</v>
      </c>
      <c r="J9" s="163"/>
      <c r="K9" s="161"/>
      <c r="L9" s="161"/>
      <c r="M9" s="163"/>
      <c r="N9" s="7" t="s">
        <v>177</v>
      </c>
      <c r="O9" s="276">
        <v>51.5</v>
      </c>
      <c r="P9" s="7">
        <v>1</v>
      </c>
      <c r="Q9" s="160"/>
      <c r="R9" s="159" t="s">
        <v>22</v>
      </c>
      <c r="S9" s="159">
        <v>3</v>
      </c>
      <c r="T9" s="7" t="s">
        <v>197</v>
      </c>
      <c r="U9" s="160"/>
      <c r="V9" s="159"/>
      <c r="W9" s="159"/>
      <c r="X9" s="160"/>
      <c r="Y9" s="200" t="s">
        <v>212</v>
      </c>
      <c r="AA9" s="205">
        <v>15</v>
      </c>
      <c r="AB9" s="495"/>
      <c r="AC9" s="280" t="s">
        <v>205</v>
      </c>
      <c r="AD9" s="359">
        <v>15</v>
      </c>
      <c r="AG9" s="283" t="s">
        <v>469</v>
      </c>
      <c r="AH9" s="212">
        <v>3.75</v>
      </c>
    </row>
    <row r="10" spans="2:34" ht="15" customHeight="1" x14ac:dyDescent="0.2">
      <c r="B10" s="147">
        <f t="shared" si="0"/>
        <v>7</v>
      </c>
      <c r="C10" s="158"/>
      <c r="D10" s="7" t="s">
        <v>317</v>
      </c>
      <c r="E10" s="159">
        <v>19</v>
      </c>
      <c r="F10" s="160" t="s">
        <v>169</v>
      </c>
      <c r="G10" s="160"/>
      <c r="H10" s="200" t="s">
        <v>488</v>
      </c>
      <c r="I10" s="7">
        <v>0</v>
      </c>
      <c r="J10" s="163"/>
      <c r="K10" s="161"/>
      <c r="L10" s="161"/>
      <c r="M10" s="163"/>
      <c r="N10" s="7" t="s">
        <v>183</v>
      </c>
      <c r="O10" s="276">
        <v>65</v>
      </c>
      <c r="P10" s="7">
        <v>1</v>
      </c>
      <c r="Q10" s="160"/>
      <c r="R10" s="159" t="s">
        <v>23</v>
      </c>
      <c r="S10" s="159">
        <v>3</v>
      </c>
      <c r="T10" s="7" t="s">
        <v>198</v>
      </c>
      <c r="U10" s="160"/>
      <c r="V10" s="159"/>
      <c r="W10" s="159"/>
      <c r="X10" s="160"/>
      <c r="Y10" s="200" t="s">
        <v>221</v>
      </c>
      <c r="AA10" s="205">
        <v>18.5</v>
      </c>
      <c r="AB10" s="495"/>
      <c r="AC10" s="280" t="s">
        <v>204</v>
      </c>
      <c r="AD10" s="359">
        <v>24</v>
      </c>
      <c r="AG10" s="283" t="s">
        <v>470</v>
      </c>
      <c r="AH10" s="212">
        <v>3.75</v>
      </c>
    </row>
    <row r="11" spans="2:34" ht="15" customHeight="1" x14ac:dyDescent="0.2">
      <c r="B11" s="147">
        <f t="shared" si="0"/>
        <v>8</v>
      </c>
      <c r="C11" s="158"/>
      <c r="D11" s="7" t="s">
        <v>835</v>
      </c>
      <c r="E11" s="159">
        <v>19</v>
      </c>
      <c r="F11" s="160" t="s">
        <v>169</v>
      </c>
      <c r="G11" s="160"/>
      <c r="H11" s="200" t="s">
        <v>490</v>
      </c>
      <c r="I11" s="7">
        <v>0</v>
      </c>
      <c r="J11" s="163"/>
      <c r="K11" s="161"/>
      <c r="L11" s="161"/>
      <c r="M11" s="163"/>
      <c r="N11" s="7" t="s">
        <v>182</v>
      </c>
      <c r="O11" s="276">
        <v>65</v>
      </c>
      <c r="P11" s="7">
        <v>1</v>
      </c>
      <c r="Q11" s="160"/>
      <c r="R11" s="159" t="s">
        <v>24</v>
      </c>
      <c r="S11" s="159">
        <v>4</v>
      </c>
      <c r="T11" s="159"/>
      <c r="U11" s="160"/>
      <c r="V11" s="159"/>
      <c r="W11" s="159"/>
      <c r="X11" s="160"/>
      <c r="Y11" s="367" t="s">
        <v>280</v>
      </c>
      <c r="AA11" s="205">
        <v>3.5</v>
      </c>
      <c r="AB11" s="495"/>
      <c r="AC11" s="280" t="s">
        <v>497</v>
      </c>
      <c r="AD11" s="648">
        <v>21.5</v>
      </c>
      <c r="AG11" s="585" t="s">
        <v>462</v>
      </c>
      <c r="AH11" s="212">
        <v>3.75</v>
      </c>
    </row>
    <row r="12" spans="2:34" ht="15" customHeight="1" thickBot="1" x14ac:dyDescent="0.25">
      <c r="B12" s="147">
        <f t="shared" si="0"/>
        <v>9</v>
      </c>
      <c r="C12" s="158"/>
      <c r="D12" s="7" t="s">
        <v>836</v>
      </c>
      <c r="E12" s="159">
        <v>19</v>
      </c>
      <c r="F12" s="160" t="s">
        <v>169</v>
      </c>
      <c r="G12" s="160"/>
      <c r="H12" s="165"/>
      <c r="I12" s="168"/>
      <c r="J12" s="163"/>
      <c r="K12" s="161"/>
      <c r="L12" s="161"/>
      <c r="M12" s="163"/>
      <c r="N12" s="7" t="s">
        <v>184</v>
      </c>
      <c r="O12" s="276">
        <v>65</v>
      </c>
      <c r="P12" s="7">
        <v>1</v>
      </c>
      <c r="Q12" s="160"/>
      <c r="R12" s="165"/>
      <c r="S12" s="165"/>
      <c r="T12" s="159"/>
      <c r="U12" s="160"/>
      <c r="V12" s="159"/>
      <c r="W12" s="159"/>
      <c r="X12" s="160"/>
      <c r="Y12" s="481" t="s">
        <v>222</v>
      </c>
      <c r="AA12" s="494">
        <v>15</v>
      </c>
      <c r="AB12" s="495"/>
      <c r="AC12" s="280" t="s">
        <v>496</v>
      </c>
      <c r="AD12" s="648">
        <v>21.5</v>
      </c>
      <c r="AG12" s="585" t="s">
        <v>463</v>
      </c>
      <c r="AH12" s="212">
        <v>3.75</v>
      </c>
    </row>
    <row r="13" spans="2:34" ht="15" customHeight="1" x14ac:dyDescent="0.2">
      <c r="B13" s="147">
        <f t="shared" si="0"/>
        <v>10</v>
      </c>
      <c r="C13" s="158"/>
      <c r="D13" s="7" t="s">
        <v>720</v>
      </c>
      <c r="E13" s="159">
        <v>19</v>
      </c>
      <c r="F13" s="160" t="s">
        <v>169</v>
      </c>
      <c r="G13" s="160"/>
      <c r="H13" s="165"/>
      <c r="J13" s="163"/>
      <c r="K13" s="161"/>
      <c r="L13" s="161"/>
      <c r="M13" s="163"/>
      <c r="N13" s="7" t="s">
        <v>185</v>
      </c>
      <c r="O13" s="276">
        <v>82.5</v>
      </c>
      <c r="P13" s="7">
        <v>1</v>
      </c>
      <c r="Q13" s="160"/>
      <c r="R13" s="165"/>
      <c r="S13" s="165"/>
      <c r="T13" s="625" t="s">
        <v>529</v>
      </c>
      <c r="U13" s="160"/>
      <c r="V13" s="159"/>
      <c r="W13" s="159"/>
      <c r="X13" s="160"/>
      <c r="Y13" s="482" t="s">
        <v>178</v>
      </c>
      <c r="Z13" s="473">
        <v>0</v>
      </c>
      <c r="AA13" s="473">
        <v>0</v>
      </c>
      <c r="AB13" s="490"/>
      <c r="AC13" s="363"/>
      <c r="AD13" s="363"/>
      <c r="AG13" s="585" t="s">
        <v>241</v>
      </c>
      <c r="AH13" s="212">
        <v>3.75</v>
      </c>
    </row>
    <row r="14" spans="2:34" ht="15" customHeight="1" x14ac:dyDescent="0.2">
      <c r="B14" s="147">
        <f t="shared" si="0"/>
        <v>11</v>
      </c>
      <c r="C14" s="158"/>
      <c r="D14" s="7" t="s">
        <v>721</v>
      </c>
      <c r="E14" s="159">
        <v>19</v>
      </c>
      <c r="F14" s="160" t="s">
        <v>169</v>
      </c>
      <c r="G14" s="160"/>
      <c r="H14" s="165"/>
      <c r="J14" s="163"/>
      <c r="K14" s="161"/>
      <c r="L14" s="161"/>
      <c r="M14" s="163"/>
      <c r="N14" s="7" t="s">
        <v>186</v>
      </c>
      <c r="O14" s="276">
        <v>82.5</v>
      </c>
      <c r="P14" s="7">
        <v>1</v>
      </c>
      <c r="Q14" s="160"/>
      <c r="R14" s="165"/>
      <c r="S14" s="165"/>
      <c r="T14" s="639" t="s">
        <v>197</v>
      </c>
      <c r="U14" s="160"/>
      <c r="V14" s="159"/>
      <c r="W14" s="159"/>
      <c r="X14" s="489"/>
      <c r="Y14" s="270" t="s">
        <v>528</v>
      </c>
      <c r="Z14" s="276">
        <v>13.5</v>
      </c>
      <c r="AA14" s="276">
        <v>13.5</v>
      </c>
      <c r="AB14" s="159"/>
      <c r="AC14" s="363"/>
      <c r="AG14" s="585" t="s">
        <v>240</v>
      </c>
      <c r="AH14" s="212">
        <v>7</v>
      </c>
    </row>
    <row r="15" spans="2:34" ht="15" customHeight="1" x14ac:dyDescent="0.2">
      <c r="B15" s="147">
        <f t="shared" si="0"/>
        <v>12</v>
      </c>
      <c r="C15" s="158"/>
      <c r="D15" s="7" t="s">
        <v>318</v>
      </c>
      <c r="E15" s="159">
        <v>19</v>
      </c>
      <c r="F15" s="160" t="s">
        <v>169</v>
      </c>
      <c r="G15" s="160"/>
      <c r="J15" s="163"/>
      <c r="K15" s="161"/>
      <c r="L15" s="161"/>
      <c r="M15" s="163"/>
      <c r="N15" s="7" t="s">
        <v>187</v>
      </c>
      <c r="O15" s="276">
        <v>82.5</v>
      </c>
      <c r="P15" s="7">
        <v>1</v>
      </c>
      <c r="Q15" s="160"/>
      <c r="R15" s="165"/>
      <c r="S15" s="165"/>
      <c r="T15" s="159"/>
      <c r="U15" s="160"/>
      <c r="V15" s="159"/>
      <c r="W15" s="159"/>
      <c r="X15" s="489"/>
      <c r="Y15" s="270" t="s">
        <v>217</v>
      </c>
      <c r="Z15" s="276">
        <v>15.5</v>
      </c>
      <c r="AA15" s="276">
        <v>15.5</v>
      </c>
      <c r="AB15" s="159"/>
      <c r="AC15" s="363"/>
      <c r="AG15" s="585" t="s">
        <v>464</v>
      </c>
      <c r="AH15" s="212">
        <v>7</v>
      </c>
    </row>
    <row r="16" spans="2:34" ht="15" customHeight="1" thickBot="1" x14ac:dyDescent="0.25">
      <c r="C16" s="158"/>
      <c r="D16" s="7" t="s">
        <v>319</v>
      </c>
      <c r="E16" s="159">
        <v>19</v>
      </c>
      <c r="F16" s="160" t="s">
        <v>169</v>
      </c>
      <c r="G16" s="160"/>
      <c r="H16" s="161"/>
      <c r="J16" s="163"/>
      <c r="K16" s="161"/>
      <c r="L16" s="161"/>
      <c r="M16" s="163"/>
      <c r="N16" s="7" t="s">
        <v>342</v>
      </c>
      <c r="O16" s="276">
        <v>51.5</v>
      </c>
      <c r="P16" s="7">
        <v>1</v>
      </c>
      <c r="Q16" s="160"/>
      <c r="R16" s="165"/>
      <c r="S16" s="165"/>
      <c r="T16" s="165"/>
      <c r="U16" s="160"/>
      <c r="V16" s="159"/>
      <c r="W16" s="159"/>
      <c r="X16" s="489"/>
      <c r="Y16" s="270" t="s">
        <v>179</v>
      </c>
      <c r="Z16" s="276">
        <v>17.5</v>
      </c>
      <c r="AA16" s="276">
        <v>17.5</v>
      </c>
      <c r="AB16" s="159"/>
      <c r="AC16" s="363"/>
      <c r="AG16" s="585" t="s">
        <v>465</v>
      </c>
      <c r="AH16" s="212">
        <v>7</v>
      </c>
    </row>
    <row r="17" spans="3:36" ht="15" customHeight="1" x14ac:dyDescent="0.2">
      <c r="C17" s="158"/>
      <c r="D17" s="7" t="s">
        <v>320</v>
      </c>
      <c r="E17" s="159">
        <v>19</v>
      </c>
      <c r="F17" s="160" t="s">
        <v>169</v>
      </c>
      <c r="G17" s="160"/>
      <c r="H17" s="161"/>
      <c r="J17" s="163"/>
      <c r="K17" s="161"/>
      <c r="L17" s="161"/>
      <c r="M17" s="163"/>
      <c r="N17" s="7" t="s">
        <v>343</v>
      </c>
      <c r="O17" s="276">
        <v>51.5</v>
      </c>
      <c r="P17" s="7">
        <v>1</v>
      </c>
      <c r="Q17" s="160"/>
      <c r="R17" s="273" t="s">
        <v>345</v>
      </c>
      <c r="S17" s="273"/>
      <c r="T17" s="165"/>
      <c r="U17" s="160"/>
      <c r="V17" s="159"/>
      <c r="W17" s="159"/>
      <c r="X17" s="489"/>
      <c r="Y17" s="270" t="s">
        <v>180</v>
      </c>
      <c r="Z17" s="276">
        <v>19.5</v>
      </c>
      <c r="AA17" s="276">
        <v>19.5</v>
      </c>
      <c r="AB17" s="159"/>
      <c r="AC17" s="363"/>
      <c r="AG17" s="212" t="s">
        <v>239</v>
      </c>
      <c r="AH17" s="212">
        <v>7475</v>
      </c>
    </row>
    <row r="18" spans="3:36" ht="15" customHeight="1" x14ac:dyDescent="0.2">
      <c r="C18" s="158"/>
      <c r="D18" s="7" t="s">
        <v>321</v>
      </c>
      <c r="E18" s="159">
        <v>19</v>
      </c>
      <c r="F18" s="160" t="s">
        <v>169</v>
      </c>
      <c r="G18" s="160"/>
      <c r="H18" s="161"/>
      <c r="J18" s="163"/>
      <c r="K18" s="161"/>
      <c r="L18" s="161"/>
      <c r="M18" s="163"/>
      <c r="N18" s="7" t="s">
        <v>344</v>
      </c>
      <c r="O18" s="276">
        <v>51.5</v>
      </c>
      <c r="P18" s="7">
        <v>1</v>
      </c>
      <c r="Q18" s="160"/>
      <c r="R18" s="7" t="s">
        <v>346</v>
      </c>
      <c r="S18" s="7">
        <v>4</v>
      </c>
      <c r="T18" s="165"/>
      <c r="U18" s="160"/>
      <c r="V18" s="159"/>
      <c r="W18" s="159"/>
      <c r="X18" s="489"/>
      <c r="Y18" s="270" t="s">
        <v>181</v>
      </c>
      <c r="Z18" s="276">
        <v>24</v>
      </c>
      <c r="AA18" s="276">
        <v>24</v>
      </c>
      <c r="AB18" s="159"/>
      <c r="AC18" s="363"/>
      <c r="AG18" s="212" t="s">
        <v>467</v>
      </c>
      <c r="AH18" s="212">
        <v>4</v>
      </c>
      <c r="AI18" s="287"/>
      <c r="AJ18" s="287"/>
    </row>
    <row r="19" spans="3:36" ht="15" customHeight="1" x14ac:dyDescent="0.2">
      <c r="C19" s="158"/>
      <c r="D19" s="7" t="s">
        <v>312</v>
      </c>
      <c r="E19" s="159">
        <v>19</v>
      </c>
      <c r="F19" s="160" t="s">
        <v>169</v>
      </c>
      <c r="G19" s="160"/>
      <c r="H19" s="161"/>
      <c r="J19" s="163"/>
      <c r="K19" s="161"/>
      <c r="L19" s="161"/>
      <c r="M19" s="163"/>
      <c r="N19" s="7" t="s">
        <v>616</v>
      </c>
      <c r="O19" s="276" t="s">
        <v>115</v>
      </c>
      <c r="P19" s="159">
        <v>1</v>
      </c>
      <c r="Q19" s="160"/>
      <c r="R19" s="7" t="s">
        <v>425</v>
      </c>
      <c r="S19" s="7">
        <v>2</v>
      </c>
      <c r="T19" s="165"/>
      <c r="U19" s="160"/>
      <c r="V19" s="165"/>
      <c r="W19" s="165"/>
      <c r="X19" s="489"/>
      <c r="Y19" s="140" t="s">
        <v>296</v>
      </c>
      <c r="Z19" s="140">
        <v>0</v>
      </c>
      <c r="AA19" s="140">
        <v>0</v>
      </c>
      <c r="AB19" s="159"/>
      <c r="AC19" s="363"/>
      <c r="AG19" s="212" t="s">
        <v>483</v>
      </c>
      <c r="AH19" s="212">
        <v>7</v>
      </c>
    </row>
    <row r="20" spans="3:36" ht="15" customHeight="1" x14ac:dyDescent="0.2">
      <c r="C20" s="158"/>
      <c r="D20" s="7" t="s">
        <v>313</v>
      </c>
      <c r="E20" s="159">
        <v>19</v>
      </c>
      <c r="F20" s="160" t="s">
        <v>169</v>
      </c>
      <c r="G20" s="160"/>
      <c r="H20" s="161"/>
      <c r="J20" s="163"/>
      <c r="K20" s="161"/>
      <c r="L20" s="161"/>
      <c r="M20" s="163"/>
      <c r="N20" s="7" t="s">
        <v>617</v>
      </c>
      <c r="O20" s="276" t="s">
        <v>115</v>
      </c>
      <c r="P20" s="159"/>
      <c r="Q20" s="160"/>
      <c r="R20" s="7" t="s">
        <v>347</v>
      </c>
      <c r="S20" s="7">
        <v>6</v>
      </c>
      <c r="T20" s="165"/>
      <c r="U20" s="160"/>
      <c r="V20" s="165"/>
      <c r="W20" s="165"/>
      <c r="X20" s="489"/>
      <c r="Y20" s="165"/>
      <c r="Z20" s="165"/>
      <c r="AA20" s="165"/>
      <c r="AB20" s="159"/>
      <c r="AC20" s="363"/>
      <c r="AG20" s="212" t="s">
        <v>437</v>
      </c>
      <c r="AH20" s="212">
        <v>3.75</v>
      </c>
    </row>
    <row r="21" spans="3:36" ht="15" customHeight="1" x14ac:dyDescent="0.2">
      <c r="C21" s="158"/>
      <c r="D21" s="7" t="s">
        <v>833</v>
      </c>
      <c r="E21" s="159">
        <v>19</v>
      </c>
      <c r="F21" s="160" t="s">
        <v>169</v>
      </c>
      <c r="G21" s="160"/>
      <c r="H21" s="201"/>
      <c r="J21" s="163"/>
      <c r="K21" s="161"/>
      <c r="L21" s="161"/>
      <c r="M21" s="163"/>
      <c r="N21" s="7" t="s">
        <v>644</v>
      </c>
      <c r="O21" s="276" t="s">
        <v>115</v>
      </c>
      <c r="P21" s="159"/>
      <c r="Q21" s="160"/>
      <c r="R21" s="7" t="s">
        <v>348</v>
      </c>
      <c r="S21" s="7">
        <v>6</v>
      </c>
      <c r="T21" s="165"/>
      <c r="U21" s="160"/>
      <c r="V21" s="165"/>
      <c r="W21" s="165"/>
      <c r="X21" s="489"/>
      <c r="Y21" s="165"/>
      <c r="Z21" s="165"/>
      <c r="AA21" s="165"/>
      <c r="AB21" s="165"/>
      <c r="AC21" s="363"/>
      <c r="AG21" s="212" t="s">
        <v>244</v>
      </c>
      <c r="AH21" s="212">
        <v>7475</v>
      </c>
    </row>
    <row r="22" spans="3:36" ht="15" customHeight="1" x14ac:dyDescent="0.2">
      <c r="C22" s="158"/>
      <c r="D22" s="7" t="s">
        <v>834</v>
      </c>
      <c r="E22" s="159">
        <v>19</v>
      </c>
      <c r="F22" s="160" t="s">
        <v>169</v>
      </c>
      <c r="G22" s="160"/>
      <c r="J22" s="163"/>
      <c r="K22" s="159"/>
      <c r="L22" s="159"/>
      <c r="M22" s="160"/>
      <c r="N22" s="7" t="s">
        <v>618</v>
      </c>
      <c r="O22" s="276" t="s">
        <v>115</v>
      </c>
      <c r="P22" s="159"/>
      <c r="Q22" s="160"/>
      <c r="R22" s="7" t="s">
        <v>349</v>
      </c>
      <c r="S22" s="7">
        <v>8</v>
      </c>
      <c r="T22" s="165"/>
      <c r="U22" s="160"/>
      <c r="V22" s="165"/>
      <c r="W22" s="165"/>
      <c r="X22" s="160"/>
      <c r="Y22" s="165"/>
      <c r="Z22" s="165"/>
      <c r="AA22" s="165"/>
      <c r="AB22" s="165"/>
      <c r="AC22" s="363"/>
    </row>
    <row r="23" spans="3:36" ht="15" customHeight="1" x14ac:dyDescent="0.2">
      <c r="C23" s="158"/>
      <c r="D23" s="7" t="s">
        <v>718</v>
      </c>
      <c r="E23" s="159">
        <v>19</v>
      </c>
      <c r="F23" s="160" t="s">
        <v>169</v>
      </c>
      <c r="G23" s="169"/>
      <c r="J23" s="163"/>
      <c r="K23" s="159"/>
      <c r="L23" s="159"/>
      <c r="M23" s="160"/>
      <c r="N23" s="7" t="s">
        <v>619</v>
      </c>
      <c r="O23" s="276" t="s">
        <v>115</v>
      </c>
      <c r="P23" s="159"/>
      <c r="Q23" s="160"/>
      <c r="R23" s="7" t="s">
        <v>350</v>
      </c>
      <c r="S23" s="7">
        <v>8</v>
      </c>
      <c r="T23" s="165"/>
      <c r="U23" s="160"/>
      <c r="V23" s="165"/>
      <c r="W23" s="165"/>
      <c r="X23" s="160"/>
      <c r="Y23" s="165"/>
      <c r="Z23" s="165"/>
      <c r="AA23" s="165"/>
      <c r="AB23" s="165"/>
      <c r="AC23" s="363"/>
    </row>
    <row r="24" spans="3:36" ht="15" customHeight="1" thickBot="1" x14ac:dyDescent="0.25">
      <c r="C24" s="158"/>
      <c r="D24" s="7" t="s">
        <v>719</v>
      </c>
      <c r="E24" s="159">
        <v>19</v>
      </c>
      <c r="F24" s="160" t="s">
        <v>169</v>
      </c>
      <c r="G24" s="169"/>
      <c r="J24" s="163"/>
      <c r="K24" s="159"/>
      <c r="L24" s="159"/>
      <c r="M24" s="160"/>
      <c r="N24" s="7" t="s">
        <v>620</v>
      </c>
      <c r="O24" s="276" t="s">
        <v>115</v>
      </c>
      <c r="P24" s="159"/>
      <c r="Q24" s="160"/>
      <c r="R24" s="165"/>
      <c r="S24" s="165"/>
      <c r="T24" s="165"/>
      <c r="U24" s="160"/>
      <c r="V24" s="165"/>
      <c r="W24" s="165"/>
      <c r="X24" s="160"/>
      <c r="Y24" s="165"/>
      <c r="Z24" s="165"/>
      <c r="AA24" s="165"/>
      <c r="AB24" s="165"/>
      <c r="AC24" s="363"/>
    </row>
    <row r="25" spans="3:36" ht="15" customHeight="1" x14ac:dyDescent="0.2">
      <c r="C25" s="158"/>
      <c r="D25" s="7" t="s">
        <v>322</v>
      </c>
      <c r="E25" s="159">
        <v>19</v>
      </c>
      <c r="F25" s="160" t="s">
        <v>169</v>
      </c>
      <c r="G25" s="169"/>
      <c r="J25" s="163"/>
      <c r="K25" s="165"/>
      <c r="L25" s="165"/>
      <c r="M25" s="169"/>
      <c r="N25" s="7" t="s">
        <v>621</v>
      </c>
      <c r="O25" s="276" t="s">
        <v>115</v>
      </c>
      <c r="P25" s="159"/>
      <c r="Q25" s="169"/>
      <c r="R25" s="625" t="s">
        <v>535</v>
      </c>
      <c r="S25" s="625"/>
      <c r="T25" s="165"/>
      <c r="U25" s="169"/>
      <c r="V25" s="165"/>
      <c r="W25" s="165"/>
      <c r="X25" s="169"/>
      <c r="Y25" s="165"/>
      <c r="Z25" s="165"/>
      <c r="AA25" s="165"/>
      <c r="AB25" s="165"/>
      <c r="AC25" s="363"/>
    </row>
    <row r="26" spans="3:36" ht="15" customHeight="1" x14ac:dyDescent="0.2">
      <c r="C26" s="158"/>
      <c r="D26" s="7" t="s">
        <v>323</v>
      </c>
      <c r="E26" s="159">
        <v>19</v>
      </c>
      <c r="F26" s="160" t="s">
        <v>169</v>
      </c>
      <c r="G26" s="169"/>
      <c r="J26" s="163"/>
      <c r="K26" s="165"/>
      <c r="L26" s="165"/>
      <c r="M26" s="169"/>
      <c r="N26" s="7" t="s">
        <v>622</v>
      </c>
      <c r="O26" s="276" t="s">
        <v>115</v>
      </c>
      <c r="P26" s="159"/>
      <c r="Q26" s="169"/>
      <c r="R26" s="638" t="s">
        <v>538</v>
      </c>
      <c r="S26" s="638">
        <v>2</v>
      </c>
      <c r="T26" s="165"/>
      <c r="U26" s="169"/>
      <c r="V26" s="165"/>
      <c r="W26" s="165"/>
      <c r="X26" s="169"/>
      <c r="Y26" s="165"/>
      <c r="Z26" s="165"/>
      <c r="AA26" s="165"/>
      <c r="AB26" s="165"/>
      <c r="AC26" s="363"/>
    </row>
    <row r="27" spans="3:36" ht="15" customHeight="1" x14ac:dyDescent="0.2">
      <c r="C27" s="158"/>
      <c r="D27" s="7" t="s">
        <v>314</v>
      </c>
      <c r="E27" s="159">
        <v>19</v>
      </c>
      <c r="F27" s="160" t="s">
        <v>169</v>
      </c>
      <c r="G27" s="169"/>
      <c r="J27" s="163"/>
      <c r="K27" s="165"/>
      <c r="L27" s="165"/>
      <c r="M27" s="169"/>
      <c r="N27" s="7" t="s">
        <v>623</v>
      </c>
      <c r="O27" s="276" t="s">
        <v>115</v>
      </c>
      <c r="P27" s="159"/>
      <c r="Q27" s="169"/>
      <c r="R27" s="638" t="s">
        <v>539</v>
      </c>
      <c r="S27" s="638">
        <v>2</v>
      </c>
      <c r="T27" s="165"/>
      <c r="U27" s="169"/>
      <c r="V27" s="165"/>
      <c r="W27" s="165"/>
      <c r="X27" s="169"/>
      <c r="Y27" s="165"/>
      <c r="Z27" s="165"/>
      <c r="AA27" s="165"/>
      <c r="AB27" s="165"/>
      <c r="AC27" s="363"/>
    </row>
    <row r="28" spans="3:36" ht="15" customHeight="1" x14ac:dyDescent="0.2">
      <c r="C28" s="158"/>
      <c r="D28" s="7" t="s">
        <v>315</v>
      </c>
      <c r="E28" s="159">
        <v>19</v>
      </c>
      <c r="F28" s="160" t="s">
        <v>169</v>
      </c>
      <c r="G28" s="169"/>
      <c r="J28" s="163"/>
      <c r="K28" s="165"/>
      <c r="L28" s="165"/>
      <c r="M28" s="169"/>
      <c r="N28" s="7" t="s">
        <v>624</v>
      </c>
      <c r="O28" s="276" t="s">
        <v>115</v>
      </c>
      <c r="P28" s="159"/>
      <c r="Q28" s="169"/>
      <c r="R28" s="638" t="s">
        <v>537</v>
      </c>
      <c r="S28" s="638">
        <v>3</v>
      </c>
      <c r="T28" s="165"/>
      <c r="U28" s="169"/>
      <c r="V28" s="165"/>
      <c r="W28" s="165"/>
      <c r="X28" s="169"/>
      <c r="Y28" s="165"/>
      <c r="Z28" s="165"/>
      <c r="AA28" s="165"/>
      <c r="AB28" s="165"/>
      <c r="AC28" s="363"/>
    </row>
    <row r="29" spans="3:36" ht="15" customHeight="1" x14ac:dyDescent="0.2">
      <c r="C29" s="158"/>
      <c r="E29" s="165"/>
      <c r="F29" s="169"/>
      <c r="G29" s="169"/>
      <c r="J29" s="163"/>
      <c r="K29" s="165"/>
      <c r="L29" s="165"/>
      <c r="M29" s="169"/>
      <c r="N29" s="7" t="s">
        <v>648</v>
      </c>
      <c r="O29" s="276" t="s">
        <v>115</v>
      </c>
      <c r="P29" s="159"/>
      <c r="Q29" s="169"/>
      <c r="R29" s="638" t="s">
        <v>536</v>
      </c>
      <c r="S29" s="638">
        <v>3</v>
      </c>
      <c r="T29" s="165"/>
      <c r="U29" s="169"/>
      <c r="V29" s="165"/>
      <c r="W29" s="165"/>
      <c r="X29" s="169"/>
      <c r="Y29" s="165"/>
      <c r="Z29" s="165"/>
      <c r="AA29" s="165"/>
      <c r="AB29" s="165"/>
      <c r="AC29" s="363"/>
    </row>
    <row r="30" spans="3:36" ht="15" customHeight="1" x14ac:dyDescent="0.2">
      <c r="C30" s="158"/>
      <c r="D30" s="165"/>
      <c r="E30" s="165"/>
      <c r="F30" s="169"/>
      <c r="G30" s="169"/>
      <c r="J30" s="163"/>
      <c r="K30" s="165"/>
      <c r="L30" s="165"/>
      <c r="M30" s="169"/>
      <c r="N30" s="7" t="s">
        <v>626</v>
      </c>
      <c r="O30" s="276" t="s">
        <v>115</v>
      </c>
      <c r="P30" s="159"/>
      <c r="Q30" s="169"/>
      <c r="R30" s="638" t="s">
        <v>540</v>
      </c>
      <c r="S30" s="638">
        <v>4</v>
      </c>
      <c r="T30" s="165"/>
      <c r="U30" s="169"/>
      <c r="V30" s="165"/>
      <c r="W30" s="165"/>
      <c r="X30" s="169"/>
      <c r="Y30" s="165"/>
      <c r="Z30" s="165"/>
      <c r="AA30" s="165"/>
      <c r="AB30" s="165"/>
      <c r="AC30" s="364"/>
    </row>
    <row r="31" spans="3:36" ht="15" customHeight="1" x14ac:dyDescent="0.2">
      <c r="C31" s="158"/>
      <c r="D31" s="165"/>
      <c r="E31" s="165"/>
      <c r="F31" s="169"/>
      <c r="G31" s="169"/>
      <c r="J31" s="163"/>
      <c r="K31" s="165"/>
      <c r="L31" s="165"/>
      <c r="M31" s="169"/>
      <c r="N31" s="7" t="s">
        <v>627</v>
      </c>
      <c r="O31" s="276" t="s">
        <v>115</v>
      </c>
      <c r="P31" s="159"/>
      <c r="Q31" s="169"/>
      <c r="R31" s="638" t="s">
        <v>541</v>
      </c>
      <c r="S31" s="638">
        <v>4</v>
      </c>
      <c r="T31" s="165"/>
      <c r="U31" s="169"/>
      <c r="V31" s="165"/>
      <c r="W31" s="165"/>
      <c r="X31" s="169"/>
      <c r="Y31" s="165"/>
      <c r="Z31" s="165"/>
      <c r="AA31" s="165"/>
      <c r="AB31" s="165"/>
      <c r="AC31" s="364"/>
    </row>
    <row r="32" spans="3:36" ht="15" customHeight="1" thickBot="1" x14ac:dyDescent="0.25">
      <c r="C32" s="158"/>
      <c r="D32" s="165"/>
      <c r="E32" s="165"/>
      <c r="F32" s="169"/>
      <c r="G32" s="169"/>
      <c r="J32" s="163"/>
      <c r="K32" s="165"/>
      <c r="L32" s="165"/>
      <c r="M32" s="169"/>
      <c r="N32" s="7" t="s">
        <v>628</v>
      </c>
      <c r="O32" s="276" t="s">
        <v>115</v>
      </c>
      <c r="P32" s="159"/>
      <c r="Q32" s="169"/>
      <c r="R32" s="638" t="s">
        <v>542</v>
      </c>
      <c r="S32" s="638">
        <v>4</v>
      </c>
      <c r="T32" s="165"/>
      <c r="U32" s="169"/>
      <c r="V32" s="165"/>
      <c r="W32" s="165"/>
      <c r="X32" s="169"/>
      <c r="Y32" s="165"/>
      <c r="Z32" s="165"/>
      <c r="AA32" s="165"/>
      <c r="AB32" s="165"/>
      <c r="AC32" s="364"/>
    </row>
    <row r="33" spans="3:29" ht="15" customHeight="1" x14ac:dyDescent="0.2">
      <c r="C33" s="158"/>
      <c r="D33" s="273" t="s">
        <v>267</v>
      </c>
      <c r="E33" s="165"/>
      <c r="F33" s="169"/>
      <c r="G33" s="169"/>
      <c r="J33" s="163"/>
      <c r="K33" s="165"/>
      <c r="L33" s="165"/>
      <c r="M33" s="169"/>
      <c r="N33" s="7" t="s">
        <v>629</v>
      </c>
      <c r="O33" s="276" t="s">
        <v>115</v>
      </c>
      <c r="P33" s="165"/>
      <c r="Q33" s="169"/>
      <c r="R33" s="638" t="s">
        <v>543</v>
      </c>
      <c r="S33" s="638">
        <v>4</v>
      </c>
      <c r="T33" s="165"/>
      <c r="U33" s="169"/>
      <c r="V33" s="165"/>
      <c r="W33" s="165"/>
      <c r="X33" s="169"/>
      <c r="Y33" s="165"/>
      <c r="Z33" s="165"/>
      <c r="AA33" s="165"/>
      <c r="AB33" s="165"/>
      <c r="AC33" s="364"/>
    </row>
    <row r="34" spans="3:29" ht="15" customHeight="1" x14ac:dyDescent="0.2">
      <c r="C34" s="158"/>
      <c r="D34" s="7" t="s">
        <v>832</v>
      </c>
      <c r="E34" s="165"/>
      <c r="F34" s="169"/>
      <c r="G34" s="169"/>
      <c r="J34" s="163"/>
      <c r="K34" s="165"/>
      <c r="L34" s="165"/>
      <c r="M34" s="169"/>
      <c r="N34" s="7" t="s">
        <v>630</v>
      </c>
      <c r="O34" s="276" t="s">
        <v>115</v>
      </c>
      <c r="P34" s="165"/>
      <c r="Q34" s="169"/>
      <c r="R34" s="638" t="s">
        <v>544</v>
      </c>
      <c r="S34" s="638">
        <v>6</v>
      </c>
      <c r="T34" s="165"/>
      <c r="U34" s="169"/>
      <c r="V34" s="165"/>
      <c r="W34" s="165"/>
      <c r="X34" s="169"/>
      <c r="Y34" s="165"/>
      <c r="Z34" s="165"/>
      <c r="AA34" s="165"/>
      <c r="AB34" s="165"/>
      <c r="AC34" s="364"/>
    </row>
    <row r="35" spans="3:29" ht="15" customHeight="1" x14ac:dyDescent="0.2">
      <c r="C35" s="158"/>
      <c r="D35" s="7" t="s">
        <v>716</v>
      </c>
      <c r="E35" s="165"/>
      <c r="F35" s="169"/>
      <c r="G35" s="169"/>
      <c r="J35" s="163"/>
      <c r="K35" s="165"/>
      <c r="L35" s="165"/>
      <c r="M35" s="169"/>
      <c r="N35" s="7" t="s">
        <v>631</v>
      </c>
      <c r="O35" s="276" t="s">
        <v>115</v>
      </c>
      <c r="P35" s="165"/>
      <c r="Q35" s="169"/>
      <c r="R35" s="638" t="s">
        <v>545</v>
      </c>
      <c r="S35" s="638">
        <v>6</v>
      </c>
      <c r="T35" s="165"/>
      <c r="U35" s="169"/>
      <c r="V35" s="165"/>
      <c r="W35" s="165"/>
      <c r="X35" s="169"/>
      <c r="Y35" s="165"/>
      <c r="Z35" s="165"/>
      <c r="AA35" s="165"/>
      <c r="AB35" s="165"/>
      <c r="AC35" s="364"/>
    </row>
    <row r="36" spans="3:29" ht="15" customHeight="1" x14ac:dyDescent="0.2">
      <c r="C36" s="158"/>
      <c r="D36" s="7" t="s">
        <v>50</v>
      </c>
      <c r="E36" s="165"/>
      <c r="F36" s="169"/>
      <c r="G36" s="169"/>
      <c r="J36" s="163"/>
      <c r="K36" s="165"/>
      <c r="L36" s="165"/>
      <c r="M36" s="169"/>
      <c r="N36" s="7" t="s">
        <v>632</v>
      </c>
      <c r="O36" s="276" t="s">
        <v>115</v>
      </c>
      <c r="P36" s="165"/>
      <c r="Q36" s="169"/>
      <c r="R36" s="165"/>
      <c r="S36" s="165"/>
      <c r="T36" s="165"/>
      <c r="U36" s="169"/>
      <c r="V36" s="165"/>
      <c r="W36" s="165"/>
      <c r="X36" s="169"/>
      <c r="Y36" s="165"/>
      <c r="Z36" s="165"/>
      <c r="AA36" s="165"/>
      <c r="AB36" s="165"/>
      <c r="AC36" s="364"/>
    </row>
    <row r="37" spans="3:29" ht="15" customHeight="1" thickBot="1" x14ac:dyDescent="0.25">
      <c r="D37" s="165"/>
      <c r="E37" s="165"/>
      <c r="F37" s="169"/>
      <c r="G37" s="169"/>
      <c r="J37" s="163"/>
      <c r="K37" s="165"/>
      <c r="L37" s="165"/>
      <c r="M37" s="169"/>
      <c r="N37" s="7" t="s">
        <v>633</v>
      </c>
      <c r="O37" s="276" t="s">
        <v>115</v>
      </c>
      <c r="P37" s="165"/>
      <c r="Q37" s="169"/>
      <c r="R37" s="165"/>
      <c r="S37" s="165"/>
      <c r="T37" s="165"/>
      <c r="U37" s="169"/>
      <c r="V37" s="165"/>
      <c r="W37" s="165"/>
      <c r="X37" s="169"/>
      <c r="Y37" s="165"/>
      <c r="Z37" s="165"/>
      <c r="AA37" s="165"/>
      <c r="AB37" s="165"/>
      <c r="AC37" s="364"/>
    </row>
    <row r="38" spans="3:29" ht="15" customHeight="1" x14ac:dyDescent="0.2">
      <c r="D38" s="273" t="s">
        <v>299</v>
      </c>
      <c r="E38" s="165"/>
      <c r="F38" s="169"/>
      <c r="G38" s="169"/>
      <c r="J38" s="163"/>
      <c r="K38" s="165"/>
      <c r="L38" s="165"/>
      <c r="M38" s="169"/>
      <c r="N38" s="7" t="s">
        <v>634</v>
      </c>
      <c r="O38" s="276" t="s">
        <v>115</v>
      </c>
      <c r="P38" s="165"/>
      <c r="Q38" s="169"/>
      <c r="R38" s="165"/>
      <c r="S38" s="165"/>
      <c r="T38" s="165"/>
      <c r="U38" s="169"/>
      <c r="V38" s="165"/>
      <c r="W38" s="165"/>
      <c r="X38" s="169"/>
      <c r="Y38" s="165"/>
      <c r="Z38" s="165"/>
      <c r="AA38" s="165"/>
      <c r="AB38" s="165"/>
      <c r="AC38" s="364"/>
    </row>
    <row r="39" spans="3:29" ht="15" customHeight="1" x14ac:dyDescent="0.2">
      <c r="D39" s="7" t="s">
        <v>49</v>
      </c>
      <c r="E39" s="165"/>
      <c r="F39" s="169"/>
      <c r="G39" s="169"/>
      <c r="J39" s="163"/>
      <c r="K39" s="165"/>
      <c r="L39" s="165"/>
      <c r="M39" s="169"/>
      <c r="N39" s="7" t="s">
        <v>645</v>
      </c>
      <c r="O39" s="276" t="s">
        <v>115</v>
      </c>
      <c r="P39" s="165"/>
      <c r="Q39" s="169"/>
      <c r="R39" s="165"/>
      <c r="S39" s="165"/>
      <c r="T39" s="165"/>
      <c r="U39" s="169"/>
      <c r="V39" s="165"/>
      <c r="W39" s="165"/>
      <c r="X39" s="169"/>
      <c r="Y39" s="165"/>
      <c r="Z39" s="165"/>
      <c r="AA39" s="165"/>
      <c r="AB39" s="165"/>
      <c r="AC39" s="364"/>
    </row>
    <row r="40" spans="3:29" ht="15" customHeight="1" x14ac:dyDescent="0.2">
      <c r="D40" s="7" t="s">
        <v>832</v>
      </c>
      <c r="E40" s="165"/>
      <c r="F40" s="169"/>
      <c r="G40" s="169"/>
      <c r="J40" s="163"/>
      <c r="K40" s="165"/>
      <c r="L40" s="165"/>
      <c r="M40" s="169"/>
      <c r="N40" s="7" t="s">
        <v>646</v>
      </c>
      <c r="O40" s="276" t="s">
        <v>115</v>
      </c>
      <c r="P40" s="165"/>
      <c r="Q40" s="169"/>
      <c r="R40" s="165"/>
      <c r="S40" s="165"/>
      <c r="T40" s="165"/>
      <c r="U40" s="169"/>
      <c r="V40" s="165"/>
      <c r="W40" s="165"/>
      <c r="X40" s="169"/>
      <c r="Y40" s="165"/>
      <c r="Z40" s="165"/>
      <c r="AA40" s="165"/>
      <c r="AB40" s="165"/>
      <c r="AC40" s="364"/>
    </row>
    <row r="41" spans="3:29" ht="15" customHeight="1" x14ac:dyDescent="0.2">
      <c r="D41" s="7" t="s">
        <v>716</v>
      </c>
      <c r="E41" s="165"/>
      <c r="F41" s="169"/>
      <c r="G41" s="169"/>
      <c r="J41" s="163"/>
      <c r="K41" s="165"/>
      <c r="L41" s="165"/>
      <c r="M41" s="169"/>
      <c r="N41" s="638" t="s">
        <v>647</v>
      </c>
      <c r="O41" s="276" t="s">
        <v>115</v>
      </c>
      <c r="P41" s="165"/>
      <c r="Q41" s="169"/>
      <c r="R41" s="165"/>
      <c r="S41" s="165"/>
      <c r="T41" s="165"/>
      <c r="U41" s="169"/>
      <c r="V41" s="165"/>
      <c r="W41" s="165"/>
      <c r="X41" s="169"/>
      <c r="Y41" s="165"/>
      <c r="Z41" s="165"/>
      <c r="AA41" s="165"/>
      <c r="AB41" s="165"/>
      <c r="AC41" s="364"/>
    </row>
    <row r="42" spans="3:29" x14ac:dyDescent="0.2">
      <c r="D42" s="7" t="s">
        <v>50</v>
      </c>
      <c r="E42" s="165"/>
      <c r="F42" s="169"/>
      <c r="G42" s="169"/>
      <c r="J42" s="163"/>
      <c r="K42" s="165"/>
      <c r="L42" s="165"/>
      <c r="M42" s="169"/>
      <c r="N42" s="638" t="s">
        <v>635</v>
      </c>
      <c r="O42" s="276" t="s">
        <v>115</v>
      </c>
      <c r="P42" s="165"/>
      <c r="Q42" s="169"/>
      <c r="R42" s="165"/>
      <c r="S42" s="165"/>
      <c r="T42" s="165"/>
      <c r="U42" s="169"/>
      <c r="V42" s="165"/>
      <c r="W42" s="165"/>
      <c r="X42" s="169"/>
      <c r="AB42" s="165"/>
      <c r="AC42" s="364"/>
    </row>
    <row r="43" spans="3:29" x14ac:dyDescent="0.2">
      <c r="D43" s="7" t="s">
        <v>75</v>
      </c>
      <c r="E43" s="165"/>
      <c r="F43" s="169"/>
      <c r="G43" s="169"/>
      <c r="J43" s="163"/>
      <c r="K43" s="165"/>
      <c r="L43" s="165"/>
      <c r="M43" s="169"/>
      <c r="N43" s="159"/>
      <c r="O43" s="6"/>
      <c r="P43" s="165"/>
      <c r="Q43" s="169"/>
      <c r="R43" s="165"/>
      <c r="S43" s="165"/>
      <c r="T43" s="165"/>
      <c r="U43" s="169"/>
      <c r="V43" s="165"/>
      <c r="W43" s="165"/>
      <c r="X43" s="169"/>
      <c r="AB43" s="165"/>
      <c r="AC43" s="364"/>
    </row>
    <row r="44" spans="3:29" x14ac:dyDescent="0.2">
      <c r="D44" s="7" t="s">
        <v>316</v>
      </c>
      <c r="E44" s="165"/>
      <c r="F44" s="169"/>
      <c r="G44" s="169"/>
      <c r="J44" s="163"/>
      <c r="K44" s="165"/>
      <c r="L44" s="165"/>
      <c r="M44" s="169"/>
      <c r="N44" s="159"/>
      <c r="O44" s="6"/>
      <c r="P44" s="165"/>
      <c r="Q44" s="169"/>
      <c r="R44" s="165"/>
      <c r="S44" s="165"/>
      <c r="T44" s="165"/>
      <c r="U44" s="169"/>
      <c r="V44" s="165"/>
      <c r="W44" s="165"/>
      <c r="X44" s="169"/>
      <c r="AB44" s="165"/>
      <c r="AC44" s="364"/>
    </row>
    <row r="45" spans="3:29" x14ac:dyDescent="0.2">
      <c r="D45" s="7" t="s">
        <v>317</v>
      </c>
      <c r="E45" s="165"/>
      <c r="F45" s="169"/>
      <c r="G45" s="169"/>
      <c r="J45" s="163"/>
      <c r="K45" s="165"/>
      <c r="L45" s="165"/>
      <c r="M45" s="169"/>
      <c r="N45" s="159"/>
      <c r="O45" s="6"/>
      <c r="P45" s="165"/>
      <c r="Q45" s="169"/>
      <c r="R45" s="165"/>
      <c r="S45" s="165"/>
      <c r="T45" s="165"/>
      <c r="U45" s="169"/>
      <c r="V45" s="165"/>
      <c r="W45" s="165"/>
      <c r="X45" s="169"/>
      <c r="AB45" s="165"/>
      <c r="AC45" s="364"/>
    </row>
    <row r="46" spans="3:29" x14ac:dyDescent="0.2">
      <c r="D46" s="7" t="s">
        <v>835</v>
      </c>
      <c r="E46" s="165"/>
      <c r="F46" s="169"/>
      <c r="G46" s="169"/>
      <c r="J46" s="163"/>
      <c r="K46" s="165"/>
      <c r="L46" s="165"/>
      <c r="M46" s="169"/>
      <c r="N46" s="159"/>
      <c r="O46" s="6"/>
      <c r="P46" s="165"/>
      <c r="Q46" s="169"/>
      <c r="R46" s="165"/>
      <c r="S46" s="165"/>
      <c r="T46" s="165"/>
      <c r="U46" s="169"/>
      <c r="V46" s="165"/>
      <c r="W46" s="165"/>
      <c r="X46" s="169"/>
      <c r="AB46" s="165"/>
      <c r="AC46" s="364"/>
    </row>
    <row r="47" spans="3:29" x14ac:dyDescent="0.2">
      <c r="D47" s="7" t="s">
        <v>836</v>
      </c>
      <c r="E47" s="165"/>
      <c r="F47" s="169"/>
      <c r="G47" s="169"/>
      <c r="J47" s="163"/>
      <c r="K47" s="165"/>
      <c r="L47" s="165"/>
      <c r="M47" s="169"/>
      <c r="N47" s="159"/>
      <c r="O47" s="6"/>
      <c r="P47" s="165"/>
      <c r="Q47" s="169"/>
      <c r="T47" s="165"/>
      <c r="U47" s="169"/>
      <c r="V47" s="165"/>
      <c r="W47" s="165"/>
      <c r="X47" s="169"/>
      <c r="AB47" s="165"/>
      <c r="AC47" s="364"/>
    </row>
    <row r="48" spans="3:29" x14ac:dyDescent="0.2">
      <c r="D48" s="7" t="s">
        <v>720</v>
      </c>
      <c r="E48" s="159"/>
      <c r="F48" s="160"/>
      <c r="G48" s="169"/>
      <c r="J48" s="163"/>
      <c r="K48" s="165"/>
      <c r="L48" s="165"/>
      <c r="M48" s="169"/>
      <c r="N48" s="159"/>
      <c r="O48" s="6"/>
      <c r="P48" s="165"/>
      <c r="Q48" s="169"/>
      <c r="T48" s="165"/>
      <c r="U48" s="169"/>
      <c r="V48" s="165"/>
      <c r="W48" s="165"/>
      <c r="X48" s="169"/>
      <c r="AB48" s="165"/>
      <c r="AC48" s="364"/>
    </row>
    <row r="49" spans="4:29" x14ac:dyDescent="0.2">
      <c r="D49" s="7" t="s">
        <v>721</v>
      </c>
      <c r="E49" s="159"/>
      <c r="F49" s="160"/>
      <c r="G49" s="169"/>
      <c r="J49" s="163"/>
      <c r="K49" s="165"/>
      <c r="L49" s="165"/>
      <c r="M49" s="169"/>
      <c r="N49" s="159"/>
      <c r="O49" s="6"/>
      <c r="P49" s="165"/>
      <c r="Q49" s="169"/>
      <c r="T49" s="165"/>
      <c r="U49" s="169"/>
      <c r="V49" s="165"/>
      <c r="W49" s="165"/>
      <c r="X49" s="169"/>
      <c r="AB49" s="165"/>
      <c r="AC49" s="364"/>
    </row>
    <row r="50" spans="4:29" x14ac:dyDescent="0.2">
      <c r="D50" s="7" t="s">
        <v>318</v>
      </c>
      <c r="E50" s="165"/>
      <c r="F50" s="169"/>
      <c r="G50" s="169"/>
      <c r="J50" s="163"/>
      <c r="K50" s="165"/>
      <c r="L50" s="165"/>
      <c r="M50" s="169"/>
      <c r="N50" s="159"/>
      <c r="O50" s="6"/>
      <c r="P50" s="165"/>
      <c r="Q50" s="169"/>
      <c r="U50" s="169"/>
      <c r="V50" s="165"/>
      <c r="W50" s="165"/>
      <c r="X50" s="169"/>
      <c r="AB50" s="165"/>
      <c r="AC50" s="364"/>
    </row>
    <row r="51" spans="4:29" x14ac:dyDescent="0.2">
      <c r="D51" s="7" t="s">
        <v>319</v>
      </c>
      <c r="E51" s="165"/>
      <c r="F51" s="169"/>
      <c r="G51" s="169"/>
      <c r="J51" s="163"/>
      <c r="K51" s="165"/>
      <c r="L51" s="165"/>
      <c r="M51" s="169"/>
      <c r="N51" s="159"/>
      <c r="O51" s="6"/>
      <c r="P51" s="165"/>
      <c r="Q51" s="169"/>
      <c r="U51" s="169"/>
      <c r="V51" s="165"/>
      <c r="W51" s="165"/>
      <c r="X51" s="169"/>
      <c r="AB51" s="165"/>
      <c r="AC51" s="364"/>
    </row>
    <row r="52" spans="4:29" x14ac:dyDescent="0.2">
      <c r="D52" s="7" t="s">
        <v>320</v>
      </c>
      <c r="E52" s="165"/>
      <c r="F52" s="169"/>
      <c r="G52" s="169"/>
      <c r="J52" s="163"/>
      <c r="K52" s="165"/>
      <c r="L52" s="165"/>
      <c r="M52" s="169"/>
      <c r="N52" s="159"/>
      <c r="O52" s="6"/>
      <c r="P52" s="165"/>
      <c r="Q52" s="169"/>
      <c r="U52" s="169"/>
      <c r="V52" s="165"/>
      <c r="W52" s="165"/>
      <c r="X52" s="169"/>
      <c r="AB52" s="165"/>
      <c r="AC52" s="364"/>
    </row>
    <row r="53" spans="4:29" x14ac:dyDescent="0.2">
      <c r="D53" s="7" t="s">
        <v>321</v>
      </c>
      <c r="E53" s="165"/>
      <c r="F53" s="169"/>
      <c r="G53" s="169"/>
      <c r="J53" s="163"/>
      <c r="K53" s="165"/>
      <c r="L53" s="165"/>
      <c r="M53" s="169"/>
      <c r="N53" s="159"/>
      <c r="O53" s="6"/>
      <c r="P53" s="165"/>
      <c r="Q53" s="169"/>
      <c r="U53" s="169"/>
      <c r="X53" s="169"/>
      <c r="AB53" s="165"/>
      <c r="AC53" s="364"/>
    </row>
    <row r="54" spans="4:29" x14ac:dyDescent="0.2">
      <c r="D54" s="7" t="s">
        <v>312</v>
      </c>
      <c r="E54" s="165"/>
      <c r="F54" s="169"/>
      <c r="G54" s="169"/>
      <c r="J54" s="163"/>
      <c r="K54" s="165"/>
      <c r="L54" s="165"/>
      <c r="M54" s="169"/>
      <c r="N54" s="159"/>
      <c r="O54" s="6"/>
      <c r="P54" s="165"/>
      <c r="Q54" s="169"/>
      <c r="U54" s="169"/>
      <c r="X54" s="169"/>
      <c r="AB54" s="165"/>
      <c r="AC54" s="364"/>
    </row>
    <row r="55" spans="4:29" x14ac:dyDescent="0.2">
      <c r="D55" s="7" t="s">
        <v>313</v>
      </c>
      <c r="E55" s="165"/>
      <c r="F55" s="169"/>
      <c r="G55" s="169"/>
      <c r="J55" s="163"/>
      <c r="K55" s="165"/>
      <c r="L55" s="165"/>
      <c r="M55" s="169"/>
      <c r="N55" s="159"/>
      <c r="O55" s="6"/>
      <c r="P55" s="165"/>
      <c r="Q55" s="169"/>
      <c r="U55" s="169"/>
      <c r="X55" s="169"/>
      <c r="AC55" s="364"/>
    </row>
    <row r="56" spans="4:29" x14ac:dyDescent="0.2">
      <c r="D56" s="7" t="s">
        <v>833</v>
      </c>
      <c r="E56" s="165"/>
      <c r="F56" s="169"/>
      <c r="G56" s="169"/>
      <c r="J56" s="169"/>
      <c r="K56" s="165"/>
      <c r="L56" s="165"/>
      <c r="M56" s="169"/>
      <c r="N56" s="159"/>
      <c r="O56" s="6"/>
      <c r="P56" s="165"/>
      <c r="Q56" s="169"/>
      <c r="U56" s="169"/>
      <c r="X56" s="169"/>
      <c r="AC56" s="364"/>
    </row>
    <row r="57" spans="4:29" x14ac:dyDescent="0.2">
      <c r="D57" s="7" t="s">
        <v>834</v>
      </c>
      <c r="E57" s="165"/>
      <c r="F57" s="169"/>
      <c r="G57" s="169"/>
      <c r="J57" s="169"/>
      <c r="K57" s="165"/>
      <c r="L57" s="165"/>
      <c r="M57" s="169"/>
      <c r="N57" s="165"/>
      <c r="O57" s="6"/>
      <c r="P57" s="165"/>
      <c r="Q57" s="169"/>
      <c r="U57" s="169"/>
      <c r="X57" s="169"/>
      <c r="AC57" s="364"/>
    </row>
    <row r="58" spans="4:29" x14ac:dyDescent="0.2">
      <c r="D58" s="7" t="s">
        <v>718</v>
      </c>
      <c r="E58" s="159"/>
      <c r="F58" s="160"/>
      <c r="G58" s="169"/>
      <c r="J58" s="169"/>
      <c r="K58" s="165"/>
      <c r="L58" s="165"/>
      <c r="M58" s="169"/>
      <c r="N58" s="165"/>
      <c r="O58" s="6"/>
      <c r="P58" s="165"/>
      <c r="Q58" s="169"/>
      <c r="U58" s="169"/>
      <c r="X58" s="169"/>
      <c r="AC58" s="364"/>
    </row>
    <row r="59" spans="4:29" x14ac:dyDescent="0.2">
      <c r="D59" s="7" t="s">
        <v>719</v>
      </c>
      <c r="E59" s="159"/>
      <c r="F59" s="160"/>
      <c r="N59" s="165"/>
      <c r="O59" s="6"/>
      <c r="P59" s="165"/>
      <c r="AC59" s="364"/>
    </row>
    <row r="60" spans="4:29" x14ac:dyDescent="0.2">
      <c r="D60" s="7" t="s">
        <v>322</v>
      </c>
      <c r="E60" s="165"/>
      <c r="F60" s="169"/>
      <c r="N60" s="165"/>
      <c r="O60" s="6"/>
      <c r="P60" s="165"/>
      <c r="AC60" s="364"/>
    </row>
    <row r="61" spans="4:29" x14ac:dyDescent="0.2">
      <c r="D61" s="7" t="s">
        <v>323</v>
      </c>
      <c r="E61" s="165"/>
      <c r="F61" s="169"/>
      <c r="N61" s="165"/>
      <c r="O61" s="6"/>
      <c r="P61" s="165"/>
      <c r="AC61" s="364"/>
    </row>
    <row r="62" spans="4:29" x14ac:dyDescent="0.2">
      <c r="D62" s="7" t="s">
        <v>314</v>
      </c>
      <c r="E62" s="165"/>
      <c r="F62" s="169"/>
      <c r="N62" s="165"/>
      <c r="O62" s="6"/>
      <c r="P62" s="165"/>
      <c r="AC62" s="364"/>
    </row>
    <row r="63" spans="4:29" ht="24" x14ac:dyDescent="0.2">
      <c r="D63" s="7" t="s">
        <v>315</v>
      </c>
      <c r="N63" s="165"/>
      <c r="O63" s="6"/>
      <c r="P63" s="165"/>
      <c r="AC63" s="364"/>
    </row>
    <row r="64" spans="4:29" x14ac:dyDescent="0.2">
      <c r="D64" s="165"/>
      <c r="N64" s="165"/>
      <c r="O64" s="6"/>
      <c r="P64" s="165"/>
    </row>
    <row r="65" spans="4:16" x14ac:dyDescent="0.2">
      <c r="D65" s="165"/>
      <c r="N65" s="165"/>
      <c r="O65" s="6"/>
      <c r="P65" s="165"/>
    </row>
    <row r="66" spans="4:16" x14ac:dyDescent="0.2">
      <c r="D66" s="165"/>
      <c r="N66" s="165"/>
      <c r="O66" s="6"/>
      <c r="P66" s="165"/>
    </row>
    <row r="67" spans="4:16" x14ac:dyDescent="0.2">
      <c r="D67" s="165"/>
      <c r="N67" s="165"/>
    </row>
    <row r="68" spans="4:16" x14ac:dyDescent="0.2">
      <c r="D68" s="165"/>
      <c r="N68" s="165"/>
    </row>
    <row r="69" spans="4:16" x14ac:dyDescent="0.2">
      <c r="D69" s="165"/>
      <c r="N69" s="165"/>
    </row>
    <row r="70" spans="4:16" x14ac:dyDescent="0.2">
      <c r="D70" s="165"/>
      <c r="N70" s="165"/>
    </row>
    <row r="71" spans="4:16" x14ac:dyDescent="0.2">
      <c r="D71" s="165"/>
      <c r="N71" s="165"/>
    </row>
    <row r="72" spans="4:16" x14ac:dyDescent="0.2">
      <c r="D72" s="165"/>
      <c r="N72" s="165"/>
    </row>
    <row r="73" spans="4:16" x14ac:dyDescent="0.2">
      <c r="D73" s="165"/>
      <c r="N73" s="165"/>
    </row>
    <row r="74" spans="4:16" x14ac:dyDescent="0.2">
      <c r="D74" s="165"/>
      <c r="N74" s="165"/>
    </row>
    <row r="75" spans="4:16" x14ac:dyDescent="0.2">
      <c r="D75" s="165"/>
      <c r="N75" s="165"/>
    </row>
    <row r="76" spans="4:16" x14ac:dyDescent="0.2">
      <c r="D76" s="165"/>
      <c r="N76" s="165"/>
    </row>
    <row r="77" spans="4:16" x14ac:dyDescent="0.2">
      <c r="D77" s="165"/>
      <c r="N77" s="165"/>
    </row>
    <row r="78" spans="4:16" x14ac:dyDescent="0.2">
      <c r="N78" s="165"/>
    </row>
    <row r="79" spans="4:16" x14ac:dyDescent="0.2">
      <c r="N79" s="165"/>
    </row>
    <row r="80" spans="4:16" x14ac:dyDescent="0.2">
      <c r="N80" s="165"/>
    </row>
    <row r="81" spans="14:14" x14ac:dyDescent="0.2">
      <c r="N81" s="165"/>
    </row>
    <row r="82" spans="14:14" x14ac:dyDescent="0.2">
      <c r="N82" s="165"/>
    </row>
    <row r="83" spans="14:14" x14ac:dyDescent="0.2">
      <c r="N83" s="165"/>
    </row>
    <row r="84" spans="14:14" x14ac:dyDescent="0.2">
      <c r="N84" s="165"/>
    </row>
    <row r="85" spans="14:14" x14ac:dyDescent="0.2">
      <c r="N85" s="165"/>
    </row>
    <row r="86" spans="14:14" x14ac:dyDescent="0.2">
      <c r="N86" s="165"/>
    </row>
    <row r="87" spans="14:14" x14ac:dyDescent="0.2">
      <c r="N87" s="165"/>
    </row>
    <row r="88" spans="14:14" x14ac:dyDescent="0.2">
      <c r="N88" s="165"/>
    </row>
    <row r="89" spans="14:14" x14ac:dyDescent="0.2">
      <c r="N89" s="165"/>
    </row>
    <row r="90" spans="14:14" x14ac:dyDescent="0.2">
      <c r="N90" s="165"/>
    </row>
  </sheetData>
  <sheetProtection selectLockedCells="1" selectUnlockedCells="1"/>
  <dataConsolidate/>
  <customSheetViews>
    <customSheetView guid="{554C7132-FEB4-4016-AC1F-AA27B41C0DFC}" scale="75" showGridLines="0" fitToPage="1" topLeftCell="AB1">
      <selection activeCell="AC6" sqref="AC6"/>
      <pageMargins left="0.22" right="0.75" top="0.74" bottom="1" header="0.5" footer="0.5"/>
      <pageSetup scale="49" fitToWidth="2" orientation="landscape" horizontalDpi="1200" verticalDpi="1200" r:id="rId1"/>
      <headerFooter alignWithMargins="0"/>
    </customSheetView>
  </customSheetViews>
  <mergeCells count="3">
    <mergeCell ref="K1:L1"/>
    <mergeCell ref="N1:O1"/>
    <mergeCell ref="D1:E1"/>
  </mergeCell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C13:AD13 AE5:AF5 J56 K6:M6 H13 T7 T11 V5:W5 N43 P20" xr:uid="{00000000-0002-0000-0C00-000000000000}">
      <formula1>0</formula1>
    </dataValidation>
  </dataValidations>
  <pageMargins left="0.22" right="0.75" top="0.74" bottom="1" header="0.5" footer="0.5"/>
  <pageSetup scale="39" fitToWidth="2" orientation="landscape" horizontalDpi="1200" verticalDpi="1200" r:id="rId2"/>
  <headerFooter alignWithMargins="0"/>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BZ90"/>
  <sheetViews>
    <sheetView showGridLines="0" topLeftCell="CA1" zoomScale="75" zoomScaleNormal="25" workbookViewId="0">
      <selection sqref="A1:BZ1048576"/>
    </sheetView>
  </sheetViews>
  <sheetFormatPr defaultRowHeight="12" x14ac:dyDescent="0.2"/>
  <cols>
    <col min="1" max="1" width="8.88671875" style="979" hidden="1" customWidth="1"/>
    <col min="2" max="2" width="2.88671875" style="979" hidden="1" customWidth="1"/>
    <col min="3" max="3" width="5.21875" style="976" hidden="1" customWidth="1"/>
    <col min="4" max="4" width="20.109375" style="979" hidden="1" customWidth="1"/>
    <col min="5" max="5" width="10.6640625" style="979" hidden="1" customWidth="1"/>
    <col min="6" max="6" width="11.5546875" style="979" hidden="1" customWidth="1"/>
    <col min="7" max="7" width="4.33203125" style="976" hidden="1" customWidth="1"/>
    <col min="8" max="8" width="14.88671875" style="978" hidden="1" customWidth="1"/>
    <col min="9" max="9" width="8.109375" style="979" hidden="1" customWidth="1"/>
    <col min="10" max="10" width="4.77734375" style="976" hidden="1" customWidth="1"/>
    <col min="11" max="11" width="6.21875" style="979" hidden="1" customWidth="1"/>
    <col min="12" max="12" width="7.109375" style="979" hidden="1" customWidth="1"/>
    <col min="13" max="13" width="4.77734375" style="976" hidden="1" customWidth="1"/>
    <col min="14" max="14" width="22.77734375" style="979" hidden="1" customWidth="1"/>
    <col min="15" max="15" width="11.21875" style="979" hidden="1" customWidth="1"/>
    <col min="16" max="16" width="12" style="979" hidden="1" customWidth="1"/>
    <col min="17" max="17" width="4.44140625" style="976" hidden="1" customWidth="1"/>
    <col min="18" max="18" width="10.109375" style="979" hidden="1" customWidth="1"/>
    <col min="19" max="19" width="7.21875" style="979" hidden="1" customWidth="1"/>
    <col min="20" max="20" width="13" style="979" hidden="1" customWidth="1"/>
    <col min="21" max="21" width="4" style="976" hidden="1" customWidth="1"/>
    <col min="22" max="23" width="10.33203125" style="979" hidden="1" customWidth="1"/>
    <col min="24" max="24" width="4.33203125" style="976" hidden="1" customWidth="1"/>
    <col min="25" max="25" width="25.77734375" style="979" hidden="1" customWidth="1"/>
    <col min="26" max="27" width="10.88671875" style="979" hidden="1" customWidth="1"/>
    <col min="28" max="29" width="17.6640625" style="979" hidden="1" customWidth="1"/>
    <col min="30" max="31" width="15.109375" style="979" hidden="1" customWidth="1"/>
    <col min="32" max="78" width="8.88671875" style="979" hidden="1" customWidth="1"/>
    <col min="79" max="256" width="8.88671875" style="979"/>
    <col min="257" max="257" width="8.88671875" style="979" customWidth="1"/>
    <col min="258" max="258" width="2.88671875" style="979" customWidth="1"/>
    <col min="259" max="259" width="5.21875" style="979" customWidth="1"/>
    <col min="260" max="260" width="20.109375" style="979" customWidth="1"/>
    <col min="261" max="261" width="10.6640625" style="979" customWidth="1"/>
    <col min="262" max="262" width="11.5546875" style="979" customWidth="1"/>
    <col min="263" max="263" width="4.33203125" style="979" customWidth="1"/>
    <col min="264" max="264" width="14.88671875" style="979" customWidth="1"/>
    <col min="265" max="265" width="8.109375" style="979" customWidth="1"/>
    <col min="266" max="266" width="4.77734375" style="979" customWidth="1"/>
    <col min="267" max="267" width="6.21875" style="979" customWidth="1"/>
    <col min="268" max="268" width="7.109375" style="979" customWidth="1"/>
    <col min="269" max="269" width="4.77734375" style="979" customWidth="1"/>
    <col min="270" max="270" width="22.77734375" style="979" customWidth="1"/>
    <col min="271" max="271" width="11.21875" style="979" customWidth="1"/>
    <col min="272" max="272" width="12" style="979" customWidth="1"/>
    <col min="273" max="273" width="4.44140625" style="979" customWidth="1"/>
    <col min="274" max="274" width="10.109375" style="979" customWidth="1"/>
    <col min="275" max="275" width="7.21875" style="979" customWidth="1"/>
    <col min="276" max="276" width="13" style="979" customWidth="1"/>
    <col min="277" max="277" width="4" style="979" customWidth="1"/>
    <col min="278" max="279" width="10.33203125" style="979" customWidth="1"/>
    <col min="280" max="280" width="4.33203125" style="979" customWidth="1"/>
    <col min="281" max="281" width="25.77734375" style="979" customWidth="1"/>
    <col min="282" max="283" width="10.88671875" style="979" customWidth="1"/>
    <col min="284" max="285" width="17.6640625" style="979" customWidth="1"/>
    <col min="286" max="287" width="15.109375" style="979" customWidth="1"/>
    <col min="288" max="334" width="8.88671875" style="979" customWidth="1"/>
    <col min="335" max="512" width="8.88671875" style="979"/>
    <col min="513" max="513" width="8.88671875" style="979" customWidth="1"/>
    <col min="514" max="514" width="2.88671875" style="979" customWidth="1"/>
    <col min="515" max="515" width="5.21875" style="979" customWidth="1"/>
    <col min="516" max="516" width="20.109375" style="979" customWidth="1"/>
    <col min="517" max="517" width="10.6640625" style="979" customWidth="1"/>
    <col min="518" max="518" width="11.5546875" style="979" customWidth="1"/>
    <col min="519" max="519" width="4.33203125" style="979" customWidth="1"/>
    <col min="520" max="520" width="14.88671875" style="979" customWidth="1"/>
    <col min="521" max="521" width="8.109375" style="979" customWidth="1"/>
    <col min="522" max="522" width="4.77734375" style="979" customWidth="1"/>
    <col min="523" max="523" width="6.21875" style="979" customWidth="1"/>
    <col min="524" max="524" width="7.109375" style="979" customWidth="1"/>
    <col min="525" max="525" width="4.77734375" style="979" customWidth="1"/>
    <col min="526" max="526" width="22.77734375" style="979" customWidth="1"/>
    <col min="527" max="527" width="11.21875" style="979" customWidth="1"/>
    <col min="528" max="528" width="12" style="979" customWidth="1"/>
    <col min="529" max="529" width="4.44140625" style="979" customWidth="1"/>
    <col min="530" max="530" width="10.109375" style="979" customWidth="1"/>
    <col min="531" max="531" width="7.21875" style="979" customWidth="1"/>
    <col min="532" max="532" width="13" style="979" customWidth="1"/>
    <col min="533" max="533" width="4" style="979" customWidth="1"/>
    <col min="534" max="535" width="10.33203125" style="979" customWidth="1"/>
    <col min="536" max="536" width="4.33203125" style="979" customWidth="1"/>
    <col min="537" max="537" width="25.77734375" style="979" customWidth="1"/>
    <col min="538" max="539" width="10.88671875" style="979" customWidth="1"/>
    <col min="540" max="541" width="17.6640625" style="979" customWidth="1"/>
    <col min="542" max="543" width="15.109375" style="979" customWidth="1"/>
    <col min="544" max="590" width="8.88671875" style="979" customWidth="1"/>
    <col min="591" max="768" width="8.88671875" style="979"/>
    <col min="769" max="769" width="8.88671875" style="979" customWidth="1"/>
    <col min="770" max="770" width="2.88671875" style="979" customWidth="1"/>
    <col min="771" max="771" width="5.21875" style="979" customWidth="1"/>
    <col min="772" max="772" width="20.109375" style="979" customWidth="1"/>
    <col min="773" max="773" width="10.6640625" style="979" customWidth="1"/>
    <col min="774" max="774" width="11.5546875" style="979" customWidth="1"/>
    <col min="775" max="775" width="4.33203125" style="979" customWidth="1"/>
    <col min="776" max="776" width="14.88671875" style="979" customWidth="1"/>
    <col min="777" max="777" width="8.109375" style="979" customWidth="1"/>
    <col min="778" max="778" width="4.77734375" style="979" customWidth="1"/>
    <col min="779" max="779" width="6.21875" style="979" customWidth="1"/>
    <col min="780" max="780" width="7.109375" style="979" customWidth="1"/>
    <col min="781" max="781" width="4.77734375" style="979" customWidth="1"/>
    <col min="782" max="782" width="22.77734375" style="979" customWidth="1"/>
    <col min="783" max="783" width="11.21875" style="979" customWidth="1"/>
    <col min="784" max="784" width="12" style="979" customWidth="1"/>
    <col min="785" max="785" width="4.44140625" style="979" customWidth="1"/>
    <col min="786" max="786" width="10.109375" style="979" customWidth="1"/>
    <col min="787" max="787" width="7.21875" style="979" customWidth="1"/>
    <col min="788" max="788" width="13" style="979" customWidth="1"/>
    <col min="789" max="789" width="4" style="979" customWidth="1"/>
    <col min="790" max="791" width="10.33203125" style="979" customWidth="1"/>
    <col min="792" max="792" width="4.33203125" style="979" customWidth="1"/>
    <col min="793" max="793" width="25.77734375" style="979" customWidth="1"/>
    <col min="794" max="795" width="10.88671875" style="979" customWidth="1"/>
    <col min="796" max="797" width="17.6640625" style="979" customWidth="1"/>
    <col min="798" max="799" width="15.109375" style="979" customWidth="1"/>
    <col min="800" max="846" width="8.88671875" style="979" customWidth="1"/>
    <col min="847" max="1024" width="8.88671875" style="979"/>
    <col min="1025" max="1025" width="8.88671875" style="979" customWidth="1"/>
    <col min="1026" max="1026" width="2.88671875" style="979" customWidth="1"/>
    <col min="1027" max="1027" width="5.21875" style="979" customWidth="1"/>
    <col min="1028" max="1028" width="20.109375" style="979" customWidth="1"/>
    <col min="1029" max="1029" width="10.6640625" style="979" customWidth="1"/>
    <col min="1030" max="1030" width="11.5546875" style="979" customWidth="1"/>
    <col min="1031" max="1031" width="4.33203125" style="979" customWidth="1"/>
    <col min="1032" max="1032" width="14.88671875" style="979" customWidth="1"/>
    <col min="1033" max="1033" width="8.109375" style="979" customWidth="1"/>
    <col min="1034" max="1034" width="4.77734375" style="979" customWidth="1"/>
    <col min="1035" max="1035" width="6.21875" style="979" customWidth="1"/>
    <col min="1036" max="1036" width="7.109375" style="979" customWidth="1"/>
    <col min="1037" max="1037" width="4.77734375" style="979" customWidth="1"/>
    <col min="1038" max="1038" width="22.77734375" style="979" customWidth="1"/>
    <col min="1039" max="1039" width="11.21875" style="979" customWidth="1"/>
    <col min="1040" max="1040" width="12" style="979" customWidth="1"/>
    <col min="1041" max="1041" width="4.44140625" style="979" customWidth="1"/>
    <col min="1042" max="1042" width="10.109375" style="979" customWidth="1"/>
    <col min="1043" max="1043" width="7.21875" style="979" customWidth="1"/>
    <col min="1044" max="1044" width="13" style="979" customWidth="1"/>
    <col min="1045" max="1045" width="4" style="979" customWidth="1"/>
    <col min="1046" max="1047" width="10.33203125" style="979" customWidth="1"/>
    <col min="1048" max="1048" width="4.33203125" style="979" customWidth="1"/>
    <col min="1049" max="1049" width="25.77734375" style="979" customWidth="1"/>
    <col min="1050" max="1051" width="10.88671875" style="979" customWidth="1"/>
    <col min="1052" max="1053" width="17.6640625" style="979" customWidth="1"/>
    <col min="1054" max="1055" width="15.109375" style="979" customWidth="1"/>
    <col min="1056" max="1102" width="8.88671875" style="979" customWidth="1"/>
    <col min="1103" max="1280" width="8.88671875" style="979"/>
    <col min="1281" max="1281" width="8.88671875" style="979" customWidth="1"/>
    <col min="1282" max="1282" width="2.88671875" style="979" customWidth="1"/>
    <col min="1283" max="1283" width="5.21875" style="979" customWidth="1"/>
    <col min="1284" max="1284" width="20.109375" style="979" customWidth="1"/>
    <col min="1285" max="1285" width="10.6640625" style="979" customWidth="1"/>
    <col min="1286" max="1286" width="11.5546875" style="979" customWidth="1"/>
    <col min="1287" max="1287" width="4.33203125" style="979" customWidth="1"/>
    <col min="1288" max="1288" width="14.88671875" style="979" customWidth="1"/>
    <col min="1289" max="1289" width="8.109375" style="979" customWidth="1"/>
    <col min="1290" max="1290" width="4.77734375" style="979" customWidth="1"/>
    <col min="1291" max="1291" width="6.21875" style="979" customWidth="1"/>
    <col min="1292" max="1292" width="7.109375" style="979" customWidth="1"/>
    <col min="1293" max="1293" width="4.77734375" style="979" customWidth="1"/>
    <col min="1294" max="1294" width="22.77734375" style="979" customWidth="1"/>
    <col min="1295" max="1295" width="11.21875" style="979" customWidth="1"/>
    <col min="1296" max="1296" width="12" style="979" customWidth="1"/>
    <col min="1297" max="1297" width="4.44140625" style="979" customWidth="1"/>
    <col min="1298" max="1298" width="10.109375" style="979" customWidth="1"/>
    <col min="1299" max="1299" width="7.21875" style="979" customWidth="1"/>
    <col min="1300" max="1300" width="13" style="979" customWidth="1"/>
    <col min="1301" max="1301" width="4" style="979" customWidth="1"/>
    <col min="1302" max="1303" width="10.33203125" style="979" customWidth="1"/>
    <col min="1304" max="1304" width="4.33203125" style="979" customWidth="1"/>
    <col min="1305" max="1305" width="25.77734375" style="979" customWidth="1"/>
    <col min="1306" max="1307" width="10.88671875" style="979" customWidth="1"/>
    <col min="1308" max="1309" width="17.6640625" style="979" customWidth="1"/>
    <col min="1310" max="1311" width="15.109375" style="979" customWidth="1"/>
    <col min="1312" max="1358" width="8.88671875" style="979" customWidth="1"/>
    <col min="1359" max="1536" width="8.88671875" style="979"/>
    <col min="1537" max="1537" width="8.88671875" style="979" customWidth="1"/>
    <col min="1538" max="1538" width="2.88671875" style="979" customWidth="1"/>
    <col min="1539" max="1539" width="5.21875" style="979" customWidth="1"/>
    <col min="1540" max="1540" width="20.109375" style="979" customWidth="1"/>
    <col min="1541" max="1541" width="10.6640625" style="979" customWidth="1"/>
    <col min="1542" max="1542" width="11.5546875" style="979" customWidth="1"/>
    <col min="1543" max="1543" width="4.33203125" style="979" customWidth="1"/>
    <col min="1544" max="1544" width="14.88671875" style="979" customWidth="1"/>
    <col min="1545" max="1545" width="8.109375" style="979" customWidth="1"/>
    <col min="1546" max="1546" width="4.77734375" style="979" customWidth="1"/>
    <col min="1547" max="1547" width="6.21875" style="979" customWidth="1"/>
    <col min="1548" max="1548" width="7.109375" style="979" customWidth="1"/>
    <col min="1549" max="1549" width="4.77734375" style="979" customWidth="1"/>
    <col min="1550" max="1550" width="22.77734375" style="979" customWidth="1"/>
    <col min="1551" max="1551" width="11.21875" style="979" customWidth="1"/>
    <col min="1552" max="1552" width="12" style="979" customWidth="1"/>
    <col min="1553" max="1553" width="4.44140625" style="979" customWidth="1"/>
    <col min="1554" max="1554" width="10.109375" style="979" customWidth="1"/>
    <col min="1555" max="1555" width="7.21875" style="979" customWidth="1"/>
    <col min="1556" max="1556" width="13" style="979" customWidth="1"/>
    <col min="1557" max="1557" width="4" style="979" customWidth="1"/>
    <col min="1558" max="1559" width="10.33203125" style="979" customWidth="1"/>
    <col min="1560" max="1560" width="4.33203125" style="979" customWidth="1"/>
    <col min="1561" max="1561" width="25.77734375" style="979" customWidth="1"/>
    <col min="1562" max="1563" width="10.88671875" style="979" customWidth="1"/>
    <col min="1564" max="1565" width="17.6640625" style="979" customWidth="1"/>
    <col min="1566" max="1567" width="15.109375" style="979" customWidth="1"/>
    <col min="1568" max="1614" width="8.88671875" style="979" customWidth="1"/>
    <col min="1615" max="1792" width="8.88671875" style="979"/>
    <col min="1793" max="1793" width="8.88671875" style="979" customWidth="1"/>
    <col min="1794" max="1794" width="2.88671875" style="979" customWidth="1"/>
    <col min="1795" max="1795" width="5.21875" style="979" customWidth="1"/>
    <col min="1796" max="1796" width="20.109375" style="979" customWidth="1"/>
    <col min="1797" max="1797" width="10.6640625" style="979" customWidth="1"/>
    <col min="1798" max="1798" width="11.5546875" style="979" customWidth="1"/>
    <col min="1799" max="1799" width="4.33203125" style="979" customWidth="1"/>
    <col min="1800" max="1800" width="14.88671875" style="979" customWidth="1"/>
    <col min="1801" max="1801" width="8.109375" style="979" customWidth="1"/>
    <col min="1802" max="1802" width="4.77734375" style="979" customWidth="1"/>
    <col min="1803" max="1803" width="6.21875" style="979" customWidth="1"/>
    <col min="1804" max="1804" width="7.109375" style="979" customWidth="1"/>
    <col min="1805" max="1805" width="4.77734375" style="979" customWidth="1"/>
    <col min="1806" max="1806" width="22.77734375" style="979" customWidth="1"/>
    <col min="1807" max="1807" width="11.21875" style="979" customWidth="1"/>
    <col min="1808" max="1808" width="12" style="979" customWidth="1"/>
    <col min="1809" max="1809" width="4.44140625" style="979" customWidth="1"/>
    <col min="1810" max="1810" width="10.109375" style="979" customWidth="1"/>
    <col min="1811" max="1811" width="7.21875" style="979" customWidth="1"/>
    <col min="1812" max="1812" width="13" style="979" customWidth="1"/>
    <col min="1813" max="1813" width="4" style="979" customWidth="1"/>
    <col min="1814" max="1815" width="10.33203125" style="979" customWidth="1"/>
    <col min="1816" max="1816" width="4.33203125" style="979" customWidth="1"/>
    <col min="1817" max="1817" width="25.77734375" style="979" customWidth="1"/>
    <col min="1818" max="1819" width="10.88671875" style="979" customWidth="1"/>
    <col min="1820" max="1821" width="17.6640625" style="979" customWidth="1"/>
    <col min="1822" max="1823" width="15.109375" style="979" customWidth="1"/>
    <col min="1824" max="1870" width="8.88671875" style="979" customWidth="1"/>
    <col min="1871" max="2048" width="8.88671875" style="979"/>
    <col min="2049" max="2049" width="8.88671875" style="979" customWidth="1"/>
    <col min="2050" max="2050" width="2.88671875" style="979" customWidth="1"/>
    <col min="2051" max="2051" width="5.21875" style="979" customWidth="1"/>
    <col min="2052" max="2052" width="20.109375" style="979" customWidth="1"/>
    <col min="2053" max="2053" width="10.6640625" style="979" customWidth="1"/>
    <col min="2054" max="2054" width="11.5546875" style="979" customWidth="1"/>
    <col min="2055" max="2055" width="4.33203125" style="979" customWidth="1"/>
    <col min="2056" max="2056" width="14.88671875" style="979" customWidth="1"/>
    <col min="2057" max="2057" width="8.109375" style="979" customWidth="1"/>
    <col min="2058" max="2058" width="4.77734375" style="979" customWidth="1"/>
    <col min="2059" max="2059" width="6.21875" style="979" customWidth="1"/>
    <col min="2060" max="2060" width="7.109375" style="979" customWidth="1"/>
    <col min="2061" max="2061" width="4.77734375" style="979" customWidth="1"/>
    <col min="2062" max="2062" width="22.77734375" style="979" customWidth="1"/>
    <col min="2063" max="2063" width="11.21875" style="979" customWidth="1"/>
    <col min="2064" max="2064" width="12" style="979" customWidth="1"/>
    <col min="2065" max="2065" width="4.44140625" style="979" customWidth="1"/>
    <col min="2066" max="2066" width="10.109375" style="979" customWidth="1"/>
    <col min="2067" max="2067" width="7.21875" style="979" customWidth="1"/>
    <col min="2068" max="2068" width="13" style="979" customWidth="1"/>
    <col min="2069" max="2069" width="4" style="979" customWidth="1"/>
    <col min="2070" max="2071" width="10.33203125" style="979" customWidth="1"/>
    <col min="2072" max="2072" width="4.33203125" style="979" customWidth="1"/>
    <col min="2073" max="2073" width="25.77734375" style="979" customWidth="1"/>
    <col min="2074" max="2075" width="10.88671875" style="979" customWidth="1"/>
    <col min="2076" max="2077" width="17.6640625" style="979" customWidth="1"/>
    <col min="2078" max="2079" width="15.109375" style="979" customWidth="1"/>
    <col min="2080" max="2126" width="8.88671875" style="979" customWidth="1"/>
    <col min="2127" max="2304" width="8.88671875" style="979"/>
    <col min="2305" max="2305" width="8.88671875" style="979" customWidth="1"/>
    <col min="2306" max="2306" width="2.88671875" style="979" customWidth="1"/>
    <col min="2307" max="2307" width="5.21875" style="979" customWidth="1"/>
    <col min="2308" max="2308" width="20.109375" style="979" customWidth="1"/>
    <col min="2309" max="2309" width="10.6640625" style="979" customWidth="1"/>
    <col min="2310" max="2310" width="11.5546875" style="979" customWidth="1"/>
    <col min="2311" max="2311" width="4.33203125" style="979" customWidth="1"/>
    <col min="2312" max="2312" width="14.88671875" style="979" customWidth="1"/>
    <col min="2313" max="2313" width="8.109375" style="979" customWidth="1"/>
    <col min="2314" max="2314" width="4.77734375" style="979" customWidth="1"/>
    <col min="2315" max="2315" width="6.21875" style="979" customWidth="1"/>
    <col min="2316" max="2316" width="7.109375" style="979" customWidth="1"/>
    <col min="2317" max="2317" width="4.77734375" style="979" customWidth="1"/>
    <col min="2318" max="2318" width="22.77734375" style="979" customWidth="1"/>
    <col min="2319" max="2319" width="11.21875" style="979" customWidth="1"/>
    <col min="2320" max="2320" width="12" style="979" customWidth="1"/>
    <col min="2321" max="2321" width="4.44140625" style="979" customWidth="1"/>
    <col min="2322" max="2322" width="10.109375" style="979" customWidth="1"/>
    <col min="2323" max="2323" width="7.21875" style="979" customWidth="1"/>
    <col min="2324" max="2324" width="13" style="979" customWidth="1"/>
    <col min="2325" max="2325" width="4" style="979" customWidth="1"/>
    <col min="2326" max="2327" width="10.33203125" style="979" customWidth="1"/>
    <col min="2328" max="2328" width="4.33203125" style="979" customWidth="1"/>
    <col min="2329" max="2329" width="25.77734375" style="979" customWidth="1"/>
    <col min="2330" max="2331" width="10.88671875" style="979" customWidth="1"/>
    <col min="2332" max="2333" width="17.6640625" style="979" customWidth="1"/>
    <col min="2334" max="2335" width="15.109375" style="979" customWidth="1"/>
    <col min="2336" max="2382" width="8.88671875" style="979" customWidth="1"/>
    <col min="2383" max="2560" width="8.88671875" style="979"/>
    <col min="2561" max="2561" width="8.88671875" style="979" customWidth="1"/>
    <col min="2562" max="2562" width="2.88671875" style="979" customWidth="1"/>
    <col min="2563" max="2563" width="5.21875" style="979" customWidth="1"/>
    <col min="2564" max="2564" width="20.109375" style="979" customWidth="1"/>
    <col min="2565" max="2565" width="10.6640625" style="979" customWidth="1"/>
    <col min="2566" max="2566" width="11.5546875" style="979" customWidth="1"/>
    <col min="2567" max="2567" width="4.33203125" style="979" customWidth="1"/>
    <col min="2568" max="2568" width="14.88671875" style="979" customWidth="1"/>
    <col min="2569" max="2569" width="8.109375" style="979" customWidth="1"/>
    <col min="2570" max="2570" width="4.77734375" style="979" customWidth="1"/>
    <col min="2571" max="2571" width="6.21875" style="979" customWidth="1"/>
    <col min="2572" max="2572" width="7.109375" style="979" customWidth="1"/>
    <col min="2573" max="2573" width="4.77734375" style="979" customWidth="1"/>
    <col min="2574" max="2574" width="22.77734375" style="979" customWidth="1"/>
    <col min="2575" max="2575" width="11.21875" style="979" customWidth="1"/>
    <col min="2576" max="2576" width="12" style="979" customWidth="1"/>
    <col min="2577" max="2577" width="4.44140625" style="979" customWidth="1"/>
    <col min="2578" max="2578" width="10.109375" style="979" customWidth="1"/>
    <col min="2579" max="2579" width="7.21875" style="979" customWidth="1"/>
    <col min="2580" max="2580" width="13" style="979" customWidth="1"/>
    <col min="2581" max="2581" width="4" style="979" customWidth="1"/>
    <col min="2582" max="2583" width="10.33203125" style="979" customWidth="1"/>
    <col min="2584" max="2584" width="4.33203125" style="979" customWidth="1"/>
    <col min="2585" max="2585" width="25.77734375" style="979" customWidth="1"/>
    <col min="2586" max="2587" width="10.88671875" style="979" customWidth="1"/>
    <col min="2588" max="2589" width="17.6640625" style="979" customWidth="1"/>
    <col min="2590" max="2591" width="15.109375" style="979" customWidth="1"/>
    <col min="2592" max="2638" width="8.88671875" style="979" customWidth="1"/>
    <col min="2639" max="2816" width="8.88671875" style="979"/>
    <col min="2817" max="2817" width="8.88671875" style="979" customWidth="1"/>
    <col min="2818" max="2818" width="2.88671875" style="979" customWidth="1"/>
    <col min="2819" max="2819" width="5.21875" style="979" customWidth="1"/>
    <col min="2820" max="2820" width="20.109375" style="979" customWidth="1"/>
    <col min="2821" max="2821" width="10.6640625" style="979" customWidth="1"/>
    <col min="2822" max="2822" width="11.5546875" style="979" customWidth="1"/>
    <col min="2823" max="2823" width="4.33203125" style="979" customWidth="1"/>
    <col min="2824" max="2824" width="14.88671875" style="979" customWidth="1"/>
    <col min="2825" max="2825" width="8.109375" style="979" customWidth="1"/>
    <col min="2826" max="2826" width="4.77734375" style="979" customWidth="1"/>
    <col min="2827" max="2827" width="6.21875" style="979" customWidth="1"/>
    <col min="2828" max="2828" width="7.109375" style="979" customWidth="1"/>
    <col min="2829" max="2829" width="4.77734375" style="979" customWidth="1"/>
    <col min="2830" max="2830" width="22.77734375" style="979" customWidth="1"/>
    <col min="2831" max="2831" width="11.21875" style="979" customWidth="1"/>
    <col min="2832" max="2832" width="12" style="979" customWidth="1"/>
    <col min="2833" max="2833" width="4.44140625" style="979" customWidth="1"/>
    <col min="2834" max="2834" width="10.109375" style="979" customWidth="1"/>
    <col min="2835" max="2835" width="7.21875" style="979" customWidth="1"/>
    <col min="2836" max="2836" width="13" style="979" customWidth="1"/>
    <col min="2837" max="2837" width="4" style="979" customWidth="1"/>
    <col min="2838" max="2839" width="10.33203125" style="979" customWidth="1"/>
    <col min="2840" max="2840" width="4.33203125" style="979" customWidth="1"/>
    <col min="2841" max="2841" width="25.77734375" style="979" customWidth="1"/>
    <col min="2842" max="2843" width="10.88671875" style="979" customWidth="1"/>
    <col min="2844" max="2845" width="17.6640625" style="979" customWidth="1"/>
    <col min="2846" max="2847" width="15.109375" style="979" customWidth="1"/>
    <col min="2848" max="2894" width="8.88671875" style="979" customWidth="1"/>
    <col min="2895" max="3072" width="8.88671875" style="979"/>
    <col min="3073" max="3073" width="8.88671875" style="979" customWidth="1"/>
    <col min="3074" max="3074" width="2.88671875" style="979" customWidth="1"/>
    <col min="3075" max="3075" width="5.21875" style="979" customWidth="1"/>
    <col min="3076" max="3076" width="20.109375" style="979" customWidth="1"/>
    <col min="3077" max="3077" width="10.6640625" style="979" customWidth="1"/>
    <col min="3078" max="3078" width="11.5546875" style="979" customWidth="1"/>
    <col min="3079" max="3079" width="4.33203125" style="979" customWidth="1"/>
    <col min="3080" max="3080" width="14.88671875" style="979" customWidth="1"/>
    <col min="3081" max="3081" width="8.109375" style="979" customWidth="1"/>
    <col min="3082" max="3082" width="4.77734375" style="979" customWidth="1"/>
    <col min="3083" max="3083" width="6.21875" style="979" customWidth="1"/>
    <col min="3084" max="3084" width="7.109375" style="979" customWidth="1"/>
    <col min="3085" max="3085" width="4.77734375" style="979" customWidth="1"/>
    <col min="3086" max="3086" width="22.77734375" style="979" customWidth="1"/>
    <col min="3087" max="3087" width="11.21875" style="979" customWidth="1"/>
    <col min="3088" max="3088" width="12" style="979" customWidth="1"/>
    <col min="3089" max="3089" width="4.44140625" style="979" customWidth="1"/>
    <col min="3090" max="3090" width="10.109375" style="979" customWidth="1"/>
    <col min="3091" max="3091" width="7.21875" style="979" customWidth="1"/>
    <col min="3092" max="3092" width="13" style="979" customWidth="1"/>
    <col min="3093" max="3093" width="4" style="979" customWidth="1"/>
    <col min="3094" max="3095" width="10.33203125" style="979" customWidth="1"/>
    <col min="3096" max="3096" width="4.33203125" style="979" customWidth="1"/>
    <col min="3097" max="3097" width="25.77734375" style="979" customWidth="1"/>
    <col min="3098" max="3099" width="10.88671875" style="979" customWidth="1"/>
    <col min="3100" max="3101" width="17.6640625" style="979" customWidth="1"/>
    <col min="3102" max="3103" width="15.109375" style="979" customWidth="1"/>
    <col min="3104" max="3150" width="8.88671875" style="979" customWidth="1"/>
    <col min="3151" max="3328" width="8.88671875" style="979"/>
    <col min="3329" max="3329" width="8.88671875" style="979" customWidth="1"/>
    <col min="3330" max="3330" width="2.88671875" style="979" customWidth="1"/>
    <col min="3331" max="3331" width="5.21875" style="979" customWidth="1"/>
    <col min="3332" max="3332" width="20.109375" style="979" customWidth="1"/>
    <col min="3333" max="3333" width="10.6640625" style="979" customWidth="1"/>
    <col min="3334" max="3334" width="11.5546875" style="979" customWidth="1"/>
    <col min="3335" max="3335" width="4.33203125" style="979" customWidth="1"/>
    <col min="3336" max="3336" width="14.88671875" style="979" customWidth="1"/>
    <col min="3337" max="3337" width="8.109375" style="979" customWidth="1"/>
    <col min="3338" max="3338" width="4.77734375" style="979" customWidth="1"/>
    <col min="3339" max="3339" width="6.21875" style="979" customWidth="1"/>
    <col min="3340" max="3340" width="7.109375" style="979" customWidth="1"/>
    <col min="3341" max="3341" width="4.77734375" style="979" customWidth="1"/>
    <col min="3342" max="3342" width="22.77734375" style="979" customWidth="1"/>
    <col min="3343" max="3343" width="11.21875" style="979" customWidth="1"/>
    <col min="3344" max="3344" width="12" style="979" customWidth="1"/>
    <col min="3345" max="3345" width="4.44140625" style="979" customWidth="1"/>
    <col min="3346" max="3346" width="10.109375" style="979" customWidth="1"/>
    <col min="3347" max="3347" width="7.21875" style="979" customWidth="1"/>
    <col min="3348" max="3348" width="13" style="979" customWidth="1"/>
    <col min="3349" max="3349" width="4" style="979" customWidth="1"/>
    <col min="3350" max="3351" width="10.33203125" style="979" customWidth="1"/>
    <col min="3352" max="3352" width="4.33203125" style="979" customWidth="1"/>
    <col min="3353" max="3353" width="25.77734375" style="979" customWidth="1"/>
    <col min="3354" max="3355" width="10.88671875" style="979" customWidth="1"/>
    <col min="3356" max="3357" width="17.6640625" style="979" customWidth="1"/>
    <col min="3358" max="3359" width="15.109375" style="979" customWidth="1"/>
    <col min="3360" max="3406" width="8.88671875" style="979" customWidth="1"/>
    <col min="3407" max="3584" width="8.88671875" style="979"/>
    <col min="3585" max="3585" width="8.88671875" style="979" customWidth="1"/>
    <col min="3586" max="3586" width="2.88671875" style="979" customWidth="1"/>
    <col min="3587" max="3587" width="5.21875" style="979" customWidth="1"/>
    <col min="3588" max="3588" width="20.109375" style="979" customWidth="1"/>
    <col min="3589" max="3589" width="10.6640625" style="979" customWidth="1"/>
    <col min="3590" max="3590" width="11.5546875" style="979" customWidth="1"/>
    <col min="3591" max="3591" width="4.33203125" style="979" customWidth="1"/>
    <col min="3592" max="3592" width="14.88671875" style="979" customWidth="1"/>
    <col min="3593" max="3593" width="8.109375" style="979" customWidth="1"/>
    <col min="3594" max="3594" width="4.77734375" style="979" customWidth="1"/>
    <col min="3595" max="3595" width="6.21875" style="979" customWidth="1"/>
    <col min="3596" max="3596" width="7.109375" style="979" customWidth="1"/>
    <col min="3597" max="3597" width="4.77734375" style="979" customWidth="1"/>
    <col min="3598" max="3598" width="22.77734375" style="979" customWidth="1"/>
    <col min="3599" max="3599" width="11.21875" style="979" customWidth="1"/>
    <col min="3600" max="3600" width="12" style="979" customWidth="1"/>
    <col min="3601" max="3601" width="4.44140625" style="979" customWidth="1"/>
    <col min="3602" max="3602" width="10.109375" style="979" customWidth="1"/>
    <col min="3603" max="3603" width="7.21875" style="979" customWidth="1"/>
    <col min="3604" max="3604" width="13" style="979" customWidth="1"/>
    <col min="3605" max="3605" width="4" style="979" customWidth="1"/>
    <col min="3606" max="3607" width="10.33203125" style="979" customWidth="1"/>
    <col min="3608" max="3608" width="4.33203125" style="979" customWidth="1"/>
    <col min="3609" max="3609" width="25.77734375" style="979" customWidth="1"/>
    <col min="3610" max="3611" width="10.88671875" style="979" customWidth="1"/>
    <col min="3612" max="3613" width="17.6640625" style="979" customWidth="1"/>
    <col min="3614" max="3615" width="15.109375" style="979" customWidth="1"/>
    <col min="3616" max="3662" width="8.88671875" style="979" customWidth="1"/>
    <col min="3663" max="3840" width="8.88671875" style="979"/>
    <col min="3841" max="3841" width="8.88671875" style="979" customWidth="1"/>
    <col min="3842" max="3842" width="2.88671875" style="979" customWidth="1"/>
    <col min="3843" max="3843" width="5.21875" style="979" customWidth="1"/>
    <col min="3844" max="3844" width="20.109375" style="979" customWidth="1"/>
    <col min="3845" max="3845" width="10.6640625" style="979" customWidth="1"/>
    <col min="3846" max="3846" width="11.5546875" style="979" customWidth="1"/>
    <col min="3847" max="3847" width="4.33203125" style="979" customWidth="1"/>
    <col min="3848" max="3848" width="14.88671875" style="979" customWidth="1"/>
    <col min="3849" max="3849" width="8.109375" style="979" customWidth="1"/>
    <col min="3850" max="3850" width="4.77734375" style="979" customWidth="1"/>
    <col min="3851" max="3851" width="6.21875" style="979" customWidth="1"/>
    <col min="3852" max="3852" width="7.109375" style="979" customWidth="1"/>
    <col min="3853" max="3853" width="4.77734375" style="979" customWidth="1"/>
    <col min="3854" max="3854" width="22.77734375" style="979" customWidth="1"/>
    <col min="3855" max="3855" width="11.21875" style="979" customWidth="1"/>
    <col min="3856" max="3856" width="12" style="979" customWidth="1"/>
    <col min="3857" max="3857" width="4.44140625" style="979" customWidth="1"/>
    <col min="3858" max="3858" width="10.109375" style="979" customWidth="1"/>
    <col min="3859" max="3859" width="7.21875" style="979" customWidth="1"/>
    <col min="3860" max="3860" width="13" style="979" customWidth="1"/>
    <col min="3861" max="3861" width="4" style="979" customWidth="1"/>
    <col min="3862" max="3863" width="10.33203125" style="979" customWidth="1"/>
    <col min="3864" max="3864" width="4.33203125" style="979" customWidth="1"/>
    <col min="3865" max="3865" width="25.77734375" style="979" customWidth="1"/>
    <col min="3866" max="3867" width="10.88671875" style="979" customWidth="1"/>
    <col min="3868" max="3869" width="17.6640625" style="979" customWidth="1"/>
    <col min="3870" max="3871" width="15.109375" style="979" customWidth="1"/>
    <col min="3872" max="3918" width="8.88671875" style="979" customWidth="1"/>
    <col min="3919" max="4096" width="8.88671875" style="979"/>
    <col min="4097" max="4097" width="8.88671875" style="979" customWidth="1"/>
    <col min="4098" max="4098" width="2.88671875" style="979" customWidth="1"/>
    <col min="4099" max="4099" width="5.21875" style="979" customWidth="1"/>
    <col min="4100" max="4100" width="20.109375" style="979" customWidth="1"/>
    <col min="4101" max="4101" width="10.6640625" style="979" customWidth="1"/>
    <col min="4102" max="4102" width="11.5546875" style="979" customWidth="1"/>
    <col min="4103" max="4103" width="4.33203125" style="979" customWidth="1"/>
    <col min="4104" max="4104" width="14.88671875" style="979" customWidth="1"/>
    <col min="4105" max="4105" width="8.109375" style="979" customWidth="1"/>
    <col min="4106" max="4106" width="4.77734375" style="979" customWidth="1"/>
    <col min="4107" max="4107" width="6.21875" style="979" customWidth="1"/>
    <col min="4108" max="4108" width="7.109375" style="979" customWidth="1"/>
    <col min="4109" max="4109" width="4.77734375" style="979" customWidth="1"/>
    <col min="4110" max="4110" width="22.77734375" style="979" customWidth="1"/>
    <col min="4111" max="4111" width="11.21875" style="979" customWidth="1"/>
    <col min="4112" max="4112" width="12" style="979" customWidth="1"/>
    <col min="4113" max="4113" width="4.44140625" style="979" customWidth="1"/>
    <col min="4114" max="4114" width="10.109375" style="979" customWidth="1"/>
    <col min="4115" max="4115" width="7.21875" style="979" customWidth="1"/>
    <col min="4116" max="4116" width="13" style="979" customWidth="1"/>
    <col min="4117" max="4117" width="4" style="979" customWidth="1"/>
    <col min="4118" max="4119" width="10.33203125" style="979" customWidth="1"/>
    <col min="4120" max="4120" width="4.33203125" style="979" customWidth="1"/>
    <col min="4121" max="4121" width="25.77734375" style="979" customWidth="1"/>
    <col min="4122" max="4123" width="10.88671875" style="979" customWidth="1"/>
    <col min="4124" max="4125" width="17.6640625" style="979" customWidth="1"/>
    <col min="4126" max="4127" width="15.109375" style="979" customWidth="1"/>
    <col min="4128" max="4174" width="8.88671875" style="979" customWidth="1"/>
    <col min="4175" max="4352" width="8.88671875" style="979"/>
    <col min="4353" max="4353" width="8.88671875" style="979" customWidth="1"/>
    <col min="4354" max="4354" width="2.88671875" style="979" customWidth="1"/>
    <col min="4355" max="4355" width="5.21875" style="979" customWidth="1"/>
    <col min="4356" max="4356" width="20.109375" style="979" customWidth="1"/>
    <col min="4357" max="4357" width="10.6640625" style="979" customWidth="1"/>
    <col min="4358" max="4358" width="11.5546875" style="979" customWidth="1"/>
    <col min="4359" max="4359" width="4.33203125" style="979" customWidth="1"/>
    <col min="4360" max="4360" width="14.88671875" style="979" customWidth="1"/>
    <col min="4361" max="4361" width="8.109375" style="979" customWidth="1"/>
    <col min="4362" max="4362" width="4.77734375" style="979" customWidth="1"/>
    <col min="4363" max="4363" width="6.21875" style="979" customWidth="1"/>
    <col min="4364" max="4364" width="7.109375" style="979" customWidth="1"/>
    <col min="4365" max="4365" width="4.77734375" style="979" customWidth="1"/>
    <col min="4366" max="4366" width="22.77734375" style="979" customWidth="1"/>
    <col min="4367" max="4367" width="11.21875" style="979" customWidth="1"/>
    <col min="4368" max="4368" width="12" style="979" customWidth="1"/>
    <col min="4369" max="4369" width="4.44140625" style="979" customWidth="1"/>
    <col min="4370" max="4370" width="10.109375" style="979" customWidth="1"/>
    <col min="4371" max="4371" width="7.21875" style="979" customWidth="1"/>
    <col min="4372" max="4372" width="13" style="979" customWidth="1"/>
    <col min="4373" max="4373" width="4" style="979" customWidth="1"/>
    <col min="4374" max="4375" width="10.33203125" style="979" customWidth="1"/>
    <col min="4376" max="4376" width="4.33203125" style="979" customWidth="1"/>
    <col min="4377" max="4377" width="25.77734375" style="979" customWidth="1"/>
    <col min="4378" max="4379" width="10.88671875" style="979" customWidth="1"/>
    <col min="4380" max="4381" width="17.6640625" style="979" customWidth="1"/>
    <col min="4382" max="4383" width="15.109375" style="979" customWidth="1"/>
    <col min="4384" max="4430" width="8.88671875" style="979" customWidth="1"/>
    <col min="4431" max="4608" width="8.88671875" style="979"/>
    <col min="4609" max="4609" width="8.88671875" style="979" customWidth="1"/>
    <col min="4610" max="4610" width="2.88671875" style="979" customWidth="1"/>
    <col min="4611" max="4611" width="5.21875" style="979" customWidth="1"/>
    <col min="4612" max="4612" width="20.109375" style="979" customWidth="1"/>
    <col min="4613" max="4613" width="10.6640625" style="979" customWidth="1"/>
    <col min="4614" max="4614" width="11.5546875" style="979" customWidth="1"/>
    <col min="4615" max="4615" width="4.33203125" style="979" customWidth="1"/>
    <col min="4616" max="4616" width="14.88671875" style="979" customWidth="1"/>
    <col min="4617" max="4617" width="8.109375" style="979" customWidth="1"/>
    <col min="4618" max="4618" width="4.77734375" style="979" customWidth="1"/>
    <col min="4619" max="4619" width="6.21875" style="979" customWidth="1"/>
    <col min="4620" max="4620" width="7.109375" style="979" customWidth="1"/>
    <col min="4621" max="4621" width="4.77734375" style="979" customWidth="1"/>
    <col min="4622" max="4622" width="22.77734375" style="979" customWidth="1"/>
    <col min="4623" max="4623" width="11.21875" style="979" customWidth="1"/>
    <col min="4624" max="4624" width="12" style="979" customWidth="1"/>
    <col min="4625" max="4625" width="4.44140625" style="979" customWidth="1"/>
    <col min="4626" max="4626" width="10.109375" style="979" customWidth="1"/>
    <col min="4627" max="4627" width="7.21875" style="979" customWidth="1"/>
    <col min="4628" max="4628" width="13" style="979" customWidth="1"/>
    <col min="4629" max="4629" width="4" style="979" customWidth="1"/>
    <col min="4630" max="4631" width="10.33203125" style="979" customWidth="1"/>
    <col min="4632" max="4632" width="4.33203125" style="979" customWidth="1"/>
    <col min="4633" max="4633" width="25.77734375" style="979" customWidth="1"/>
    <col min="4634" max="4635" width="10.88671875" style="979" customWidth="1"/>
    <col min="4636" max="4637" width="17.6640625" style="979" customWidth="1"/>
    <col min="4638" max="4639" width="15.109375" style="979" customWidth="1"/>
    <col min="4640" max="4686" width="8.88671875" style="979" customWidth="1"/>
    <col min="4687" max="4864" width="8.88671875" style="979"/>
    <col min="4865" max="4865" width="8.88671875" style="979" customWidth="1"/>
    <col min="4866" max="4866" width="2.88671875" style="979" customWidth="1"/>
    <col min="4867" max="4867" width="5.21875" style="979" customWidth="1"/>
    <col min="4868" max="4868" width="20.109375" style="979" customWidth="1"/>
    <col min="4869" max="4869" width="10.6640625" style="979" customWidth="1"/>
    <col min="4870" max="4870" width="11.5546875" style="979" customWidth="1"/>
    <col min="4871" max="4871" width="4.33203125" style="979" customWidth="1"/>
    <col min="4872" max="4872" width="14.88671875" style="979" customWidth="1"/>
    <col min="4873" max="4873" width="8.109375" style="979" customWidth="1"/>
    <col min="4874" max="4874" width="4.77734375" style="979" customWidth="1"/>
    <col min="4875" max="4875" width="6.21875" style="979" customWidth="1"/>
    <col min="4876" max="4876" width="7.109375" style="979" customWidth="1"/>
    <col min="4877" max="4877" width="4.77734375" style="979" customWidth="1"/>
    <col min="4878" max="4878" width="22.77734375" style="979" customWidth="1"/>
    <col min="4879" max="4879" width="11.21875" style="979" customWidth="1"/>
    <col min="4880" max="4880" width="12" style="979" customWidth="1"/>
    <col min="4881" max="4881" width="4.44140625" style="979" customWidth="1"/>
    <col min="4882" max="4882" width="10.109375" style="979" customWidth="1"/>
    <col min="4883" max="4883" width="7.21875" style="979" customWidth="1"/>
    <col min="4884" max="4884" width="13" style="979" customWidth="1"/>
    <col min="4885" max="4885" width="4" style="979" customWidth="1"/>
    <col min="4886" max="4887" width="10.33203125" style="979" customWidth="1"/>
    <col min="4888" max="4888" width="4.33203125" style="979" customWidth="1"/>
    <col min="4889" max="4889" width="25.77734375" style="979" customWidth="1"/>
    <col min="4890" max="4891" width="10.88671875" style="979" customWidth="1"/>
    <col min="4892" max="4893" width="17.6640625" style="979" customWidth="1"/>
    <col min="4894" max="4895" width="15.109375" style="979" customWidth="1"/>
    <col min="4896" max="4942" width="8.88671875" style="979" customWidth="1"/>
    <col min="4943" max="5120" width="8.88671875" style="979"/>
    <col min="5121" max="5121" width="8.88671875" style="979" customWidth="1"/>
    <col min="5122" max="5122" width="2.88671875" style="979" customWidth="1"/>
    <col min="5123" max="5123" width="5.21875" style="979" customWidth="1"/>
    <col min="5124" max="5124" width="20.109375" style="979" customWidth="1"/>
    <col min="5125" max="5125" width="10.6640625" style="979" customWidth="1"/>
    <col min="5126" max="5126" width="11.5546875" style="979" customWidth="1"/>
    <col min="5127" max="5127" width="4.33203125" style="979" customWidth="1"/>
    <col min="5128" max="5128" width="14.88671875" style="979" customWidth="1"/>
    <col min="5129" max="5129" width="8.109375" style="979" customWidth="1"/>
    <col min="5130" max="5130" width="4.77734375" style="979" customWidth="1"/>
    <col min="5131" max="5131" width="6.21875" style="979" customWidth="1"/>
    <col min="5132" max="5132" width="7.109375" style="979" customWidth="1"/>
    <col min="5133" max="5133" width="4.77734375" style="979" customWidth="1"/>
    <col min="5134" max="5134" width="22.77734375" style="979" customWidth="1"/>
    <col min="5135" max="5135" width="11.21875" style="979" customWidth="1"/>
    <col min="5136" max="5136" width="12" style="979" customWidth="1"/>
    <col min="5137" max="5137" width="4.44140625" style="979" customWidth="1"/>
    <col min="5138" max="5138" width="10.109375" style="979" customWidth="1"/>
    <col min="5139" max="5139" width="7.21875" style="979" customWidth="1"/>
    <col min="5140" max="5140" width="13" style="979" customWidth="1"/>
    <col min="5141" max="5141" width="4" style="979" customWidth="1"/>
    <col min="5142" max="5143" width="10.33203125" style="979" customWidth="1"/>
    <col min="5144" max="5144" width="4.33203125" style="979" customWidth="1"/>
    <col min="5145" max="5145" width="25.77734375" style="979" customWidth="1"/>
    <col min="5146" max="5147" width="10.88671875" style="979" customWidth="1"/>
    <col min="5148" max="5149" width="17.6640625" style="979" customWidth="1"/>
    <col min="5150" max="5151" width="15.109375" style="979" customWidth="1"/>
    <col min="5152" max="5198" width="8.88671875" style="979" customWidth="1"/>
    <col min="5199" max="5376" width="8.88671875" style="979"/>
    <col min="5377" max="5377" width="8.88671875" style="979" customWidth="1"/>
    <col min="5378" max="5378" width="2.88671875" style="979" customWidth="1"/>
    <col min="5379" max="5379" width="5.21875" style="979" customWidth="1"/>
    <col min="5380" max="5380" width="20.109375" style="979" customWidth="1"/>
    <col min="5381" max="5381" width="10.6640625" style="979" customWidth="1"/>
    <col min="5382" max="5382" width="11.5546875" style="979" customWidth="1"/>
    <col min="5383" max="5383" width="4.33203125" style="979" customWidth="1"/>
    <col min="5384" max="5384" width="14.88671875" style="979" customWidth="1"/>
    <col min="5385" max="5385" width="8.109375" style="979" customWidth="1"/>
    <col min="5386" max="5386" width="4.77734375" style="979" customWidth="1"/>
    <col min="5387" max="5387" width="6.21875" style="979" customWidth="1"/>
    <col min="5388" max="5388" width="7.109375" style="979" customWidth="1"/>
    <col min="5389" max="5389" width="4.77734375" style="979" customWidth="1"/>
    <col min="5390" max="5390" width="22.77734375" style="979" customWidth="1"/>
    <col min="5391" max="5391" width="11.21875" style="979" customWidth="1"/>
    <col min="5392" max="5392" width="12" style="979" customWidth="1"/>
    <col min="5393" max="5393" width="4.44140625" style="979" customWidth="1"/>
    <col min="5394" max="5394" width="10.109375" style="979" customWidth="1"/>
    <col min="5395" max="5395" width="7.21875" style="979" customWidth="1"/>
    <col min="5396" max="5396" width="13" style="979" customWidth="1"/>
    <col min="5397" max="5397" width="4" style="979" customWidth="1"/>
    <col min="5398" max="5399" width="10.33203125" style="979" customWidth="1"/>
    <col min="5400" max="5400" width="4.33203125" style="979" customWidth="1"/>
    <col min="5401" max="5401" width="25.77734375" style="979" customWidth="1"/>
    <col min="5402" max="5403" width="10.88671875" style="979" customWidth="1"/>
    <col min="5404" max="5405" width="17.6640625" style="979" customWidth="1"/>
    <col min="5406" max="5407" width="15.109375" style="979" customWidth="1"/>
    <col min="5408" max="5454" width="8.88671875" style="979" customWidth="1"/>
    <col min="5455" max="5632" width="8.88671875" style="979"/>
    <col min="5633" max="5633" width="8.88671875" style="979" customWidth="1"/>
    <col min="5634" max="5634" width="2.88671875" style="979" customWidth="1"/>
    <col min="5635" max="5635" width="5.21875" style="979" customWidth="1"/>
    <col min="5636" max="5636" width="20.109375" style="979" customWidth="1"/>
    <col min="5637" max="5637" width="10.6640625" style="979" customWidth="1"/>
    <col min="5638" max="5638" width="11.5546875" style="979" customWidth="1"/>
    <col min="5639" max="5639" width="4.33203125" style="979" customWidth="1"/>
    <col min="5640" max="5640" width="14.88671875" style="979" customWidth="1"/>
    <col min="5641" max="5641" width="8.109375" style="979" customWidth="1"/>
    <col min="5642" max="5642" width="4.77734375" style="979" customWidth="1"/>
    <col min="5643" max="5643" width="6.21875" style="979" customWidth="1"/>
    <col min="5644" max="5644" width="7.109375" style="979" customWidth="1"/>
    <col min="5645" max="5645" width="4.77734375" style="979" customWidth="1"/>
    <col min="5646" max="5646" width="22.77734375" style="979" customWidth="1"/>
    <col min="5647" max="5647" width="11.21875" style="979" customWidth="1"/>
    <col min="5648" max="5648" width="12" style="979" customWidth="1"/>
    <col min="5649" max="5649" width="4.44140625" style="979" customWidth="1"/>
    <col min="5650" max="5650" width="10.109375" style="979" customWidth="1"/>
    <col min="5651" max="5651" width="7.21875" style="979" customWidth="1"/>
    <col min="5652" max="5652" width="13" style="979" customWidth="1"/>
    <col min="5653" max="5653" width="4" style="979" customWidth="1"/>
    <col min="5654" max="5655" width="10.33203125" style="979" customWidth="1"/>
    <col min="5656" max="5656" width="4.33203125" style="979" customWidth="1"/>
    <col min="5657" max="5657" width="25.77734375" style="979" customWidth="1"/>
    <col min="5658" max="5659" width="10.88671875" style="979" customWidth="1"/>
    <col min="5660" max="5661" width="17.6640625" style="979" customWidth="1"/>
    <col min="5662" max="5663" width="15.109375" style="979" customWidth="1"/>
    <col min="5664" max="5710" width="8.88671875" style="979" customWidth="1"/>
    <col min="5711" max="5888" width="8.88671875" style="979"/>
    <col min="5889" max="5889" width="8.88671875" style="979" customWidth="1"/>
    <col min="5890" max="5890" width="2.88671875" style="979" customWidth="1"/>
    <col min="5891" max="5891" width="5.21875" style="979" customWidth="1"/>
    <col min="5892" max="5892" width="20.109375" style="979" customWidth="1"/>
    <col min="5893" max="5893" width="10.6640625" style="979" customWidth="1"/>
    <col min="5894" max="5894" width="11.5546875" style="979" customWidth="1"/>
    <col min="5895" max="5895" width="4.33203125" style="979" customWidth="1"/>
    <col min="5896" max="5896" width="14.88671875" style="979" customWidth="1"/>
    <col min="5897" max="5897" width="8.109375" style="979" customWidth="1"/>
    <col min="5898" max="5898" width="4.77734375" style="979" customWidth="1"/>
    <col min="5899" max="5899" width="6.21875" style="979" customWidth="1"/>
    <col min="5900" max="5900" width="7.109375" style="979" customWidth="1"/>
    <col min="5901" max="5901" width="4.77734375" style="979" customWidth="1"/>
    <col min="5902" max="5902" width="22.77734375" style="979" customWidth="1"/>
    <col min="5903" max="5903" width="11.21875" style="979" customWidth="1"/>
    <col min="5904" max="5904" width="12" style="979" customWidth="1"/>
    <col min="5905" max="5905" width="4.44140625" style="979" customWidth="1"/>
    <col min="5906" max="5906" width="10.109375" style="979" customWidth="1"/>
    <col min="5907" max="5907" width="7.21875" style="979" customWidth="1"/>
    <col min="5908" max="5908" width="13" style="979" customWidth="1"/>
    <col min="5909" max="5909" width="4" style="979" customWidth="1"/>
    <col min="5910" max="5911" width="10.33203125" style="979" customWidth="1"/>
    <col min="5912" max="5912" width="4.33203125" style="979" customWidth="1"/>
    <col min="5913" max="5913" width="25.77734375" style="979" customWidth="1"/>
    <col min="5914" max="5915" width="10.88671875" style="979" customWidth="1"/>
    <col min="5916" max="5917" width="17.6640625" style="979" customWidth="1"/>
    <col min="5918" max="5919" width="15.109375" style="979" customWidth="1"/>
    <col min="5920" max="5966" width="8.88671875" style="979" customWidth="1"/>
    <col min="5967" max="6144" width="8.88671875" style="979"/>
    <col min="6145" max="6145" width="8.88671875" style="979" customWidth="1"/>
    <col min="6146" max="6146" width="2.88671875" style="979" customWidth="1"/>
    <col min="6147" max="6147" width="5.21875" style="979" customWidth="1"/>
    <col min="6148" max="6148" width="20.109375" style="979" customWidth="1"/>
    <col min="6149" max="6149" width="10.6640625" style="979" customWidth="1"/>
    <col min="6150" max="6150" width="11.5546875" style="979" customWidth="1"/>
    <col min="6151" max="6151" width="4.33203125" style="979" customWidth="1"/>
    <col min="6152" max="6152" width="14.88671875" style="979" customWidth="1"/>
    <col min="6153" max="6153" width="8.109375" style="979" customWidth="1"/>
    <col min="6154" max="6154" width="4.77734375" style="979" customWidth="1"/>
    <col min="6155" max="6155" width="6.21875" style="979" customWidth="1"/>
    <col min="6156" max="6156" width="7.109375" style="979" customWidth="1"/>
    <col min="6157" max="6157" width="4.77734375" style="979" customWidth="1"/>
    <col min="6158" max="6158" width="22.77734375" style="979" customWidth="1"/>
    <col min="6159" max="6159" width="11.21875" style="979" customWidth="1"/>
    <col min="6160" max="6160" width="12" style="979" customWidth="1"/>
    <col min="6161" max="6161" width="4.44140625" style="979" customWidth="1"/>
    <col min="6162" max="6162" width="10.109375" style="979" customWidth="1"/>
    <col min="6163" max="6163" width="7.21875" style="979" customWidth="1"/>
    <col min="6164" max="6164" width="13" style="979" customWidth="1"/>
    <col min="6165" max="6165" width="4" style="979" customWidth="1"/>
    <col min="6166" max="6167" width="10.33203125" style="979" customWidth="1"/>
    <col min="6168" max="6168" width="4.33203125" style="979" customWidth="1"/>
    <col min="6169" max="6169" width="25.77734375" style="979" customWidth="1"/>
    <col min="6170" max="6171" width="10.88671875" style="979" customWidth="1"/>
    <col min="6172" max="6173" width="17.6640625" style="979" customWidth="1"/>
    <col min="6174" max="6175" width="15.109375" style="979" customWidth="1"/>
    <col min="6176" max="6222" width="8.88671875" style="979" customWidth="1"/>
    <col min="6223" max="6400" width="8.88671875" style="979"/>
    <col min="6401" max="6401" width="8.88671875" style="979" customWidth="1"/>
    <col min="6402" max="6402" width="2.88671875" style="979" customWidth="1"/>
    <col min="6403" max="6403" width="5.21875" style="979" customWidth="1"/>
    <col min="6404" max="6404" width="20.109375" style="979" customWidth="1"/>
    <col min="6405" max="6405" width="10.6640625" style="979" customWidth="1"/>
    <col min="6406" max="6406" width="11.5546875" style="979" customWidth="1"/>
    <col min="6407" max="6407" width="4.33203125" style="979" customWidth="1"/>
    <col min="6408" max="6408" width="14.88671875" style="979" customWidth="1"/>
    <col min="6409" max="6409" width="8.109375" style="979" customWidth="1"/>
    <col min="6410" max="6410" width="4.77734375" style="979" customWidth="1"/>
    <col min="6411" max="6411" width="6.21875" style="979" customWidth="1"/>
    <col min="6412" max="6412" width="7.109375" style="979" customWidth="1"/>
    <col min="6413" max="6413" width="4.77734375" style="979" customWidth="1"/>
    <col min="6414" max="6414" width="22.77734375" style="979" customWidth="1"/>
    <col min="6415" max="6415" width="11.21875" style="979" customWidth="1"/>
    <col min="6416" max="6416" width="12" style="979" customWidth="1"/>
    <col min="6417" max="6417" width="4.44140625" style="979" customWidth="1"/>
    <col min="6418" max="6418" width="10.109375" style="979" customWidth="1"/>
    <col min="6419" max="6419" width="7.21875" style="979" customWidth="1"/>
    <col min="6420" max="6420" width="13" style="979" customWidth="1"/>
    <col min="6421" max="6421" width="4" style="979" customWidth="1"/>
    <col min="6422" max="6423" width="10.33203125" style="979" customWidth="1"/>
    <col min="6424" max="6424" width="4.33203125" style="979" customWidth="1"/>
    <col min="6425" max="6425" width="25.77734375" style="979" customWidth="1"/>
    <col min="6426" max="6427" width="10.88671875" style="979" customWidth="1"/>
    <col min="6428" max="6429" width="17.6640625" style="979" customWidth="1"/>
    <col min="6430" max="6431" width="15.109375" style="979" customWidth="1"/>
    <col min="6432" max="6478" width="8.88671875" style="979" customWidth="1"/>
    <col min="6479" max="6656" width="8.88671875" style="979"/>
    <col min="6657" max="6657" width="8.88671875" style="979" customWidth="1"/>
    <col min="6658" max="6658" width="2.88671875" style="979" customWidth="1"/>
    <col min="6659" max="6659" width="5.21875" style="979" customWidth="1"/>
    <col min="6660" max="6660" width="20.109375" style="979" customWidth="1"/>
    <col min="6661" max="6661" width="10.6640625" style="979" customWidth="1"/>
    <col min="6662" max="6662" width="11.5546875" style="979" customWidth="1"/>
    <col min="6663" max="6663" width="4.33203125" style="979" customWidth="1"/>
    <col min="6664" max="6664" width="14.88671875" style="979" customWidth="1"/>
    <col min="6665" max="6665" width="8.109375" style="979" customWidth="1"/>
    <col min="6666" max="6666" width="4.77734375" style="979" customWidth="1"/>
    <col min="6667" max="6667" width="6.21875" style="979" customWidth="1"/>
    <col min="6668" max="6668" width="7.109375" style="979" customWidth="1"/>
    <col min="6669" max="6669" width="4.77734375" style="979" customWidth="1"/>
    <col min="6670" max="6670" width="22.77734375" style="979" customWidth="1"/>
    <col min="6671" max="6671" width="11.21875" style="979" customWidth="1"/>
    <col min="6672" max="6672" width="12" style="979" customWidth="1"/>
    <col min="6673" max="6673" width="4.44140625" style="979" customWidth="1"/>
    <col min="6674" max="6674" width="10.109375" style="979" customWidth="1"/>
    <col min="6675" max="6675" width="7.21875" style="979" customWidth="1"/>
    <col min="6676" max="6676" width="13" style="979" customWidth="1"/>
    <col min="6677" max="6677" width="4" style="979" customWidth="1"/>
    <col min="6678" max="6679" width="10.33203125" style="979" customWidth="1"/>
    <col min="6680" max="6680" width="4.33203125" style="979" customWidth="1"/>
    <col min="6681" max="6681" width="25.77734375" style="979" customWidth="1"/>
    <col min="6682" max="6683" width="10.88671875" style="979" customWidth="1"/>
    <col min="6684" max="6685" width="17.6640625" style="979" customWidth="1"/>
    <col min="6686" max="6687" width="15.109375" style="979" customWidth="1"/>
    <col min="6688" max="6734" width="8.88671875" style="979" customWidth="1"/>
    <col min="6735" max="6912" width="8.88671875" style="979"/>
    <col min="6913" max="6913" width="8.88671875" style="979" customWidth="1"/>
    <col min="6914" max="6914" width="2.88671875" style="979" customWidth="1"/>
    <col min="6915" max="6915" width="5.21875" style="979" customWidth="1"/>
    <col min="6916" max="6916" width="20.109375" style="979" customWidth="1"/>
    <col min="6917" max="6917" width="10.6640625" style="979" customWidth="1"/>
    <col min="6918" max="6918" width="11.5546875" style="979" customWidth="1"/>
    <col min="6919" max="6919" width="4.33203125" style="979" customWidth="1"/>
    <col min="6920" max="6920" width="14.88671875" style="979" customWidth="1"/>
    <col min="6921" max="6921" width="8.109375" style="979" customWidth="1"/>
    <col min="6922" max="6922" width="4.77734375" style="979" customWidth="1"/>
    <col min="6923" max="6923" width="6.21875" style="979" customWidth="1"/>
    <col min="6924" max="6924" width="7.109375" style="979" customWidth="1"/>
    <col min="6925" max="6925" width="4.77734375" style="979" customWidth="1"/>
    <col min="6926" max="6926" width="22.77734375" style="979" customWidth="1"/>
    <col min="6927" max="6927" width="11.21875" style="979" customWidth="1"/>
    <col min="6928" max="6928" width="12" style="979" customWidth="1"/>
    <col min="6929" max="6929" width="4.44140625" style="979" customWidth="1"/>
    <col min="6930" max="6930" width="10.109375" style="979" customWidth="1"/>
    <col min="6931" max="6931" width="7.21875" style="979" customWidth="1"/>
    <col min="6932" max="6932" width="13" style="979" customWidth="1"/>
    <col min="6933" max="6933" width="4" style="979" customWidth="1"/>
    <col min="6934" max="6935" width="10.33203125" style="979" customWidth="1"/>
    <col min="6936" max="6936" width="4.33203125" style="979" customWidth="1"/>
    <col min="6937" max="6937" width="25.77734375" style="979" customWidth="1"/>
    <col min="6938" max="6939" width="10.88671875" style="979" customWidth="1"/>
    <col min="6940" max="6941" width="17.6640625" style="979" customWidth="1"/>
    <col min="6942" max="6943" width="15.109375" style="979" customWidth="1"/>
    <col min="6944" max="6990" width="8.88671875" style="979" customWidth="1"/>
    <col min="6991" max="7168" width="8.88671875" style="979"/>
    <col min="7169" max="7169" width="8.88671875" style="979" customWidth="1"/>
    <col min="7170" max="7170" width="2.88671875" style="979" customWidth="1"/>
    <col min="7171" max="7171" width="5.21875" style="979" customWidth="1"/>
    <col min="7172" max="7172" width="20.109375" style="979" customWidth="1"/>
    <col min="7173" max="7173" width="10.6640625" style="979" customWidth="1"/>
    <col min="7174" max="7174" width="11.5546875" style="979" customWidth="1"/>
    <col min="7175" max="7175" width="4.33203125" style="979" customWidth="1"/>
    <col min="7176" max="7176" width="14.88671875" style="979" customWidth="1"/>
    <col min="7177" max="7177" width="8.109375" style="979" customWidth="1"/>
    <col min="7178" max="7178" width="4.77734375" style="979" customWidth="1"/>
    <col min="7179" max="7179" width="6.21875" style="979" customWidth="1"/>
    <col min="7180" max="7180" width="7.109375" style="979" customWidth="1"/>
    <col min="7181" max="7181" width="4.77734375" style="979" customWidth="1"/>
    <col min="7182" max="7182" width="22.77734375" style="979" customWidth="1"/>
    <col min="7183" max="7183" width="11.21875" style="979" customWidth="1"/>
    <col min="7184" max="7184" width="12" style="979" customWidth="1"/>
    <col min="7185" max="7185" width="4.44140625" style="979" customWidth="1"/>
    <col min="7186" max="7186" width="10.109375" style="979" customWidth="1"/>
    <col min="7187" max="7187" width="7.21875" style="979" customWidth="1"/>
    <col min="7188" max="7188" width="13" style="979" customWidth="1"/>
    <col min="7189" max="7189" width="4" style="979" customWidth="1"/>
    <col min="7190" max="7191" width="10.33203125" style="979" customWidth="1"/>
    <col min="7192" max="7192" width="4.33203125" style="979" customWidth="1"/>
    <col min="7193" max="7193" width="25.77734375" style="979" customWidth="1"/>
    <col min="7194" max="7195" width="10.88671875" style="979" customWidth="1"/>
    <col min="7196" max="7197" width="17.6640625" style="979" customWidth="1"/>
    <col min="7198" max="7199" width="15.109375" style="979" customWidth="1"/>
    <col min="7200" max="7246" width="8.88671875" style="979" customWidth="1"/>
    <col min="7247" max="7424" width="8.88671875" style="979"/>
    <col min="7425" max="7425" width="8.88671875" style="979" customWidth="1"/>
    <col min="7426" max="7426" width="2.88671875" style="979" customWidth="1"/>
    <col min="7427" max="7427" width="5.21875" style="979" customWidth="1"/>
    <col min="7428" max="7428" width="20.109375" style="979" customWidth="1"/>
    <col min="7429" max="7429" width="10.6640625" style="979" customWidth="1"/>
    <col min="7430" max="7430" width="11.5546875" style="979" customWidth="1"/>
    <col min="7431" max="7431" width="4.33203125" style="979" customWidth="1"/>
    <col min="7432" max="7432" width="14.88671875" style="979" customWidth="1"/>
    <col min="7433" max="7433" width="8.109375" style="979" customWidth="1"/>
    <col min="7434" max="7434" width="4.77734375" style="979" customWidth="1"/>
    <col min="7435" max="7435" width="6.21875" style="979" customWidth="1"/>
    <col min="7436" max="7436" width="7.109375" style="979" customWidth="1"/>
    <col min="7437" max="7437" width="4.77734375" style="979" customWidth="1"/>
    <col min="7438" max="7438" width="22.77734375" style="979" customWidth="1"/>
    <col min="7439" max="7439" width="11.21875" style="979" customWidth="1"/>
    <col min="7440" max="7440" width="12" style="979" customWidth="1"/>
    <col min="7441" max="7441" width="4.44140625" style="979" customWidth="1"/>
    <col min="7442" max="7442" width="10.109375" style="979" customWidth="1"/>
    <col min="7443" max="7443" width="7.21875" style="979" customWidth="1"/>
    <col min="7444" max="7444" width="13" style="979" customWidth="1"/>
    <col min="7445" max="7445" width="4" style="979" customWidth="1"/>
    <col min="7446" max="7447" width="10.33203125" style="979" customWidth="1"/>
    <col min="7448" max="7448" width="4.33203125" style="979" customWidth="1"/>
    <col min="7449" max="7449" width="25.77734375" style="979" customWidth="1"/>
    <col min="7450" max="7451" width="10.88671875" style="979" customWidth="1"/>
    <col min="7452" max="7453" width="17.6640625" style="979" customWidth="1"/>
    <col min="7454" max="7455" width="15.109375" style="979" customWidth="1"/>
    <col min="7456" max="7502" width="8.88671875" style="979" customWidth="1"/>
    <col min="7503" max="7680" width="8.88671875" style="979"/>
    <col min="7681" max="7681" width="8.88671875" style="979" customWidth="1"/>
    <col min="7682" max="7682" width="2.88671875" style="979" customWidth="1"/>
    <col min="7683" max="7683" width="5.21875" style="979" customWidth="1"/>
    <col min="7684" max="7684" width="20.109375" style="979" customWidth="1"/>
    <col min="7685" max="7685" width="10.6640625" style="979" customWidth="1"/>
    <col min="7686" max="7686" width="11.5546875" style="979" customWidth="1"/>
    <col min="7687" max="7687" width="4.33203125" style="979" customWidth="1"/>
    <col min="7688" max="7688" width="14.88671875" style="979" customWidth="1"/>
    <col min="7689" max="7689" width="8.109375" style="979" customWidth="1"/>
    <col min="7690" max="7690" width="4.77734375" style="979" customWidth="1"/>
    <col min="7691" max="7691" width="6.21875" style="979" customWidth="1"/>
    <col min="7692" max="7692" width="7.109375" style="979" customWidth="1"/>
    <col min="7693" max="7693" width="4.77734375" style="979" customWidth="1"/>
    <col min="7694" max="7694" width="22.77734375" style="979" customWidth="1"/>
    <col min="7695" max="7695" width="11.21875" style="979" customWidth="1"/>
    <col min="7696" max="7696" width="12" style="979" customWidth="1"/>
    <col min="7697" max="7697" width="4.44140625" style="979" customWidth="1"/>
    <col min="7698" max="7698" width="10.109375" style="979" customWidth="1"/>
    <col min="7699" max="7699" width="7.21875" style="979" customWidth="1"/>
    <col min="7700" max="7700" width="13" style="979" customWidth="1"/>
    <col min="7701" max="7701" width="4" style="979" customWidth="1"/>
    <col min="7702" max="7703" width="10.33203125" style="979" customWidth="1"/>
    <col min="7704" max="7704" width="4.33203125" style="979" customWidth="1"/>
    <col min="7705" max="7705" width="25.77734375" style="979" customWidth="1"/>
    <col min="7706" max="7707" width="10.88671875" style="979" customWidth="1"/>
    <col min="7708" max="7709" width="17.6640625" style="979" customWidth="1"/>
    <col min="7710" max="7711" width="15.109375" style="979" customWidth="1"/>
    <col min="7712" max="7758" width="8.88671875" style="979" customWidth="1"/>
    <col min="7759" max="7936" width="8.88671875" style="979"/>
    <col min="7937" max="7937" width="8.88671875" style="979" customWidth="1"/>
    <col min="7938" max="7938" width="2.88671875" style="979" customWidth="1"/>
    <col min="7939" max="7939" width="5.21875" style="979" customWidth="1"/>
    <col min="7940" max="7940" width="20.109375" style="979" customWidth="1"/>
    <col min="7941" max="7941" width="10.6640625" style="979" customWidth="1"/>
    <col min="7942" max="7942" width="11.5546875" style="979" customWidth="1"/>
    <col min="7943" max="7943" width="4.33203125" style="979" customWidth="1"/>
    <col min="7944" max="7944" width="14.88671875" style="979" customWidth="1"/>
    <col min="7945" max="7945" width="8.109375" style="979" customWidth="1"/>
    <col min="7946" max="7946" width="4.77734375" style="979" customWidth="1"/>
    <col min="7947" max="7947" width="6.21875" style="979" customWidth="1"/>
    <col min="7948" max="7948" width="7.109375" style="979" customWidth="1"/>
    <col min="7949" max="7949" width="4.77734375" style="979" customWidth="1"/>
    <col min="7950" max="7950" width="22.77734375" style="979" customWidth="1"/>
    <col min="7951" max="7951" width="11.21875" style="979" customWidth="1"/>
    <col min="7952" max="7952" width="12" style="979" customWidth="1"/>
    <col min="7953" max="7953" width="4.44140625" style="979" customWidth="1"/>
    <col min="7954" max="7954" width="10.109375" style="979" customWidth="1"/>
    <col min="7955" max="7955" width="7.21875" style="979" customWidth="1"/>
    <col min="7956" max="7956" width="13" style="979" customWidth="1"/>
    <col min="7957" max="7957" width="4" style="979" customWidth="1"/>
    <col min="7958" max="7959" width="10.33203125" style="979" customWidth="1"/>
    <col min="7960" max="7960" width="4.33203125" style="979" customWidth="1"/>
    <col min="7961" max="7961" width="25.77734375" style="979" customWidth="1"/>
    <col min="7962" max="7963" width="10.88671875" style="979" customWidth="1"/>
    <col min="7964" max="7965" width="17.6640625" style="979" customWidth="1"/>
    <col min="7966" max="7967" width="15.109375" style="979" customWidth="1"/>
    <col min="7968" max="8014" width="8.88671875" style="979" customWidth="1"/>
    <col min="8015" max="8192" width="8.88671875" style="979"/>
    <col min="8193" max="8193" width="8.88671875" style="979" customWidth="1"/>
    <col min="8194" max="8194" width="2.88671875" style="979" customWidth="1"/>
    <col min="8195" max="8195" width="5.21875" style="979" customWidth="1"/>
    <col min="8196" max="8196" width="20.109375" style="979" customWidth="1"/>
    <col min="8197" max="8197" width="10.6640625" style="979" customWidth="1"/>
    <col min="8198" max="8198" width="11.5546875" style="979" customWidth="1"/>
    <col min="8199" max="8199" width="4.33203125" style="979" customWidth="1"/>
    <col min="8200" max="8200" width="14.88671875" style="979" customWidth="1"/>
    <col min="8201" max="8201" width="8.109375" style="979" customWidth="1"/>
    <col min="8202" max="8202" width="4.77734375" style="979" customWidth="1"/>
    <col min="8203" max="8203" width="6.21875" style="979" customWidth="1"/>
    <col min="8204" max="8204" width="7.109375" style="979" customWidth="1"/>
    <col min="8205" max="8205" width="4.77734375" style="979" customWidth="1"/>
    <col min="8206" max="8206" width="22.77734375" style="979" customWidth="1"/>
    <col min="8207" max="8207" width="11.21875" style="979" customWidth="1"/>
    <col min="8208" max="8208" width="12" style="979" customWidth="1"/>
    <col min="8209" max="8209" width="4.44140625" style="979" customWidth="1"/>
    <col min="8210" max="8210" width="10.109375" style="979" customWidth="1"/>
    <col min="8211" max="8211" width="7.21875" style="979" customWidth="1"/>
    <col min="8212" max="8212" width="13" style="979" customWidth="1"/>
    <col min="8213" max="8213" width="4" style="979" customWidth="1"/>
    <col min="8214" max="8215" width="10.33203125" style="979" customWidth="1"/>
    <col min="8216" max="8216" width="4.33203125" style="979" customWidth="1"/>
    <col min="8217" max="8217" width="25.77734375" style="979" customWidth="1"/>
    <col min="8218" max="8219" width="10.88671875" style="979" customWidth="1"/>
    <col min="8220" max="8221" width="17.6640625" style="979" customWidth="1"/>
    <col min="8222" max="8223" width="15.109375" style="979" customWidth="1"/>
    <col min="8224" max="8270" width="8.88671875" style="979" customWidth="1"/>
    <col min="8271" max="8448" width="8.88671875" style="979"/>
    <col min="8449" max="8449" width="8.88671875" style="979" customWidth="1"/>
    <col min="8450" max="8450" width="2.88671875" style="979" customWidth="1"/>
    <col min="8451" max="8451" width="5.21875" style="979" customWidth="1"/>
    <col min="8452" max="8452" width="20.109375" style="979" customWidth="1"/>
    <col min="8453" max="8453" width="10.6640625" style="979" customWidth="1"/>
    <col min="8454" max="8454" width="11.5546875" style="979" customWidth="1"/>
    <col min="8455" max="8455" width="4.33203125" style="979" customWidth="1"/>
    <col min="8456" max="8456" width="14.88671875" style="979" customWidth="1"/>
    <col min="8457" max="8457" width="8.109375" style="979" customWidth="1"/>
    <col min="8458" max="8458" width="4.77734375" style="979" customWidth="1"/>
    <col min="8459" max="8459" width="6.21875" style="979" customWidth="1"/>
    <col min="8460" max="8460" width="7.109375" style="979" customWidth="1"/>
    <col min="8461" max="8461" width="4.77734375" style="979" customWidth="1"/>
    <col min="8462" max="8462" width="22.77734375" style="979" customWidth="1"/>
    <col min="8463" max="8463" width="11.21875" style="979" customWidth="1"/>
    <col min="8464" max="8464" width="12" style="979" customWidth="1"/>
    <col min="8465" max="8465" width="4.44140625" style="979" customWidth="1"/>
    <col min="8466" max="8466" width="10.109375" style="979" customWidth="1"/>
    <col min="8467" max="8467" width="7.21875" style="979" customWidth="1"/>
    <col min="8468" max="8468" width="13" style="979" customWidth="1"/>
    <col min="8469" max="8469" width="4" style="979" customWidth="1"/>
    <col min="8470" max="8471" width="10.33203125" style="979" customWidth="1"/>
    <col min="8472" max="8472" width="4.33203125" style="979" customWidth="1"/>
    <col min="8473" max="8473" width="25.77734375" style="979" customWidth="1"/>
    <col min="8474" max="8475" width="10.88671875" style="979" customWidth="1"/>
    <col min="8476" max="8477" width="17.6640625" style="979" customWidth="1"/>
    <col min="8478" max="8479" width="15.109375" style="979" customWidth="1"/>
    <col min="8480" max="8526" width="8.88671875" style="979" customWidth="1"/>
    <col min="8527" max="8704" width="8.88671875" style="979"/>
    <col min="8705" max="8705" width="8.88671875" style="979" customWidth="1"/>
    <col min="8706" max="8706" width="2.88671875" style="979" customWidth="1"/>
    <col min="8707" max="8707" width="5.21875" style="979" customWidth="1"/>
    <col min="8708" max="8708" width="20.109375" style="979" customWidth="1"/>
    <col min="8709" max="8709" width="10.6640625" style="979" customWidth="1"/>
    <col min="8710" max="8710" width="11.5546875" style="979" customWidth="1"/>
    <col min="8711" max="8711" width="4.33203125" style="979" customWidth="1"/>
    <col min="8712" max="8712" width="14.88671875" style="979" customWidth="1"/>
    <col min="8713" max="8713" width="8.109375" style="979" customWidth="1"/>
    <col min="8714" max="8714" width="4.77734375" style="979" customWidth="1"/>
    <col min="8715" max="8715" width="6.21875" style="979" customWidth="1"/>
    <col min="8716" max="8716" width="7.109375" style="979" customWidth="1"/>
    <col min="8717" max="8717" width="4.77734375" style="979" customWidth="1"/>
    <col min="8718" max="8718" width="22.77734375" style="979" customWidth="1"/>
    <col min="8719" max="8719" width="11.21875" style="979" customWidth="1"/>
    <col min="8720" max="8720" width="12" style="979" customWidth="1"/>
    <col min="8721" max="8721" width="4.44140625" style="979" customWidth="1"/>
    <col min="8722" max="8722" width="10.109375" style="979" customWidth="1"/>
    <col min="8723" max="8723" width="7.21875" style="979" customWidth="1"/>
    <col min="8724" max="8724" width="13" style="979" customWidth="1"/>
    <col min="8725" max="8725" width="4" style="979" customWidth="1"/>
    <col min="8726" max="8727" width="10.33203125" style="979" customWidth="1"/>
    <col min="8728" max="8728" width="4.33203125" style="979" customWidth="1"/>
    <col min="8729" max="8729" width="25.77734375" style="979" customWidth="1"/>
    <col min="8730" max="8731" width="10.88671875" style="979" customWidth="1"/>
    <col min="8732" max="8733" width="17.6640625" style="979" customWidth="1"/>
    <col min="8734" max="8735" width="15.109375" style="979" customWidth="1"/>
    <col min="8736" max="8782" width="8.88671875" style="979" customWidth="1"/>
    <col min="8783" max="8960" width="8.88671875" style="979"/>
    <col min="8961" max="8961" width="8.88671875" style="979" customWidth="1"/>
    <col min="8962" max="8962" width="2.88671875" style="979" customWidth="1"/>
    <col min="8963" max="8963" width="5.21875" style="979" customWidth="1"/>
    <col min="8964" max="8964" width="20.109375" style="979" customWidth="1"/>
    <col min="8965" max="8965" width="10.6640625" style="979" customWidth="1"/>
    <col min="8966" max="8966" width="11.5546875" style="979" customWidth="1"/>
    <col min="8967" max="8967" width="4.33203125" style="979" customWidth="1"/>
    <col min="8968" max="8968" width="14.88671875" style="979" customWidth="1"/>
    <col min="8969" max="8969" width="8.109375" style="979" customWidth="1"/>
    <col min="8970" max="8970" width="4.77734375" style="979" customWidth="1"/>
    <col min="8971" max="8971" width="6.21875" style="979" customWidth="1"/>
    <col min="8972" max="8972" width="7.109375" style="979" customWidth="1"/>
    <col min="8973" max="8973" width="4.77734375" style="979" customWidth="1"/>
    <col min="8974" max="8974" width="22.77734375" style="979" customWidth="1"/>
    <col min="8975" max="8975" width="11.21875" style="979" customWidth="1"/>
    <col min="8976" max="8976" width="12" style="979" customWidth="1"/>
    <col min="8977" max="8977" width="4.44140625" style="979" customWidth="1"/>
    <col min="8978" max="8978" width="10.109375" style="979" customWidth="1"/>
    <col min="8979" max="8979" width="7.21875" style="979" customWidth="1"/>
    <col min="8980" max="8980" width="13" style="979" customWidth="1"/>
    <col min="8981" max="8981" width="4" style="979" customWidth="1"/>
    <col min="8982" max="8983" width="10.33203125" style="979" customWidth="1"/>
    <col min="8984" max="8984" width="4.33203125" style="979" customWidth="1"/>
    <col min="8985" max="8985" width="25.77734375" style="979" customWidth="1"/>
    <col min="8986" max="8987" width="10.88671875" style="979" customWidth="1"/>
    <col min="8988" max="8989" width="17.6640625" style="979" customWidth="1"/>
    <col min="8990" max="8991" width="15.109375" style="979" customWidth="1"/>
    <col min="8992" max="9038" width="8.88671875" style="979" customWidth="1"/>
    <col min="9039" max="9216" width="8.88671875" style="979"/>
    <col min="9217" max="9217" width="8.88671875" style="979" customWidth="1"/>
    <col min="9218" max="9218" width="2.88671875" style="979" customWidth="1"/>
    <col min="9219" max="9219" width="5.21875" style="979" customWidth="1"/>
    <col min="9220" max="9220" width="20.109375" style="979" customWidth="1"/>
    <col min="9221" max="9221" width="10.6640625" style="979" customWidth="1"/>
    <col min="9222" max="9222" width="11.5546875" style="979" customWidth="1"/>
    <col min="9223" max="9223" width="4.33203125" style="979" customWidth="1"/>
    <col min="9224" max="9224" width="14.88671875" style="979" customWidth="1"/>
    <col min="9225" max="9225" width="8.109375" style="979" customWidth="1"/>
    <col min="9226" max="9226" width="4.77734375" style="979" customWidth="1"/>
    <col min="9227" max="9227" width="6.21875" style="979" customWidth="1"/>
    <col min="9228" max="9228" width="7.109375" style="979" customWidth="1"/>
    <col min="9229" max="9229" width="4.77734375" style="979" customWidth="1"/>
    <col min="9230" max="9230" width="22.77734375" style="979" customWidth="1"/>
    <col min="9231" max="9231" width="11.21875" style="979" customWidth="1"/>
    <col min="9232" max="9232" width="12" style="979" customWidth="1"/>
    <col min="9233" max="9233" width="4.44140625" style="979" customWidth="1"/>
    <col min="9234" max="9234" width="10.109375" style="979" customWidth="1"/>
    <col min="9235" max="9235" width="7.21875" style="979" customWidth="1"/>
    <col min="9236" max="9236" width="13" style="979" customWidth="1"/>
    <col min="9237" max="9237" width="4" style="979" customWidth="1"/>
    <col min="9238" max="9239" width="10.33203125" style="979" customWidth="1"/>
    <col min="9240" max="9240" width="4.33203125" style="979" customWidth="1"/>
    <col min="9241" max="9241" width="25.77734375" style="979" customWidth="1"/>
    <col min="9242" max="9243" width="10.88671875" style="979" customWidth="1"/>
    <col min="9244" max="9245" width="17.6640625" style="979" customWidth="1"/>
    <col min="9246" max="9247" width="15.109375" style="979" customWidth="1"/>
    <col min="9248" max="9294" width="8.88671875" style="979" customWidth="1"/>
    <col min="9295" max="9472" width="8.88671875" style="979"/>
    <col min="9473" max="9473" width="8.88671875" style="979" customWidth="1"/>
    <col min="9474" max="9474" width="2.88671875" style="979" customWidth="1"/>
    <col min="9475" max="9475" width="5.21875" style="979" customWidth="1"/>
    <col min="9476" max="9476" width="20.109375" style="979" customWidth="1"/>
    <col min="9477" max="9477" width="10.6640625" style="979" customWidth="1"/>
    <col min="9478" max="9478" width="11.5546875" style="979" customWidth="1"/>
    <col min="9479" max="9479" width="4.33203125" style="979" customWidth="1"/>
    <col min="9480" max="9480" width="14.88671875" style="979" customWidth="1"/>
    <col min="9481" max="9481" width="8.109375" style="979" customWidth="1"/>
    <col min="9482" max="9482" width="4.77734375" style="979" customWidth="1"/>
    <col min="9483" max="9483" width="6.21875" style="979" customWidth="1"/>
    <col min="9484" max="9484" width="7.109375" style="979" customWidth="1"/>
    <col min="9485" max="9485" width="4.77734375" style="979" customWidth="1"/>
    <col min="9486" max="9486" width="22.77734375" style="979" customWidth="1"/>
    <col min="9487" max="9487" width="11.21875" style="979" customWidth="1"/>
    <col min="9488" max="9488" width="12" style="979" customWidth="1"/>
    <col min="9489" max="9489" width="4.44140625" style="979" customWidth="1"/>
    <col min="9490" max="9490" width="10.109375" style="979" customWidth="1"/>
    <col min="9491" max="9491" width="7.21875" style="979" customWidth="1"/>
    <col min="9492" max="9492" width="13" style="979" customWidth="1"/>
    <col min="9493" max="9493" width="4" style="979" customWidth="1"/>
    <col min="9494" max="9495" width="10.33203125" style="979" customWidth="1"/>
    <col min="9496" max="9496" width="4.33203125" style="979" customWidth="1"/>
    <col min="9497" max="9497" width="25.77734375" style="979" customWidth="1"/>
    <col min="9498" max="9499" width="10.88671875" style="979" customWidth="1"/>
    <col min="9500" max="9501" width="17.6640625" style="979" customWidth="1"/>
    <col min="9502" max="9503" width="15.109375" style="979" customWidth="1"/>
    <col min="9504" max="9550" width="8.88671875" style="979" customWidth="1"/>
    <col min="9551" max="9728" width="8.88671875" style="979"/>
    <col min="9729" max="9729" width="8.88671875" style="979" customWidth="1"/>
    <col min="9730" max="9730" width="2.88671875" style="979" customWidth="1"/>
    <col min="9731" max="9731" width="5.21875" style="979" customWidth="1"/>
    <col min="9732" max="9732" width="20.109375" style="979" customWidth="1"/>
    <col min="9733" max="9733" width="10.6640625" style="979" customWidth="1"/>
    <col min="9734" max="9734" width="11.5546875" style="979" customWidth="1"/>
    <col min="9735" max="9735" width="4.33203125" style="979" customWidth="1"/>
    <col min="9736" max="9736" width="14.88671875" style="979" customWidth="1"/>
    <col min="9737" max="9737" width="8.109375" style="979" customWidth="1"/>
    <col min="9738" max="9738" width="4.77734375" style="979" customWidth="1"/>
    <col min="9739" max="9739" width="6.21875" style="979" customWidth="1"/>
    <col min="9740" max="9740" width="7.109375" style="979" customWidth="1"/>
    <col min="9741" max="9741" width="4.77734375" style="979" customWidth="1"/>
    <col min="9742" max="9742" width="22.77734375" style="979" customWidth="1"/>
    <col min="9743" max="9743" width="11.21875" style="979" customWidth="1"/>
    <col min="9744" max="9744" width="12" style="979" customWidth="1"/>
    <col min="9745" max="9745" width="4.44140625" style="979" customWidth="1"/>
    <col min="9746" max="9746" width="10.109375" style="979" customWidth="1"/>
    <col min="9747" max="9747" width="7.21875" style="979" customWidth="1"/>
    <col min="9748" max="9748" width="13" style="979" customWidth="1"/>
    <col min="9749" max="9749" width="4" style="979" customWidth="1"/>
    <col min="9750" max="9751" width="10.33203125" style="979" customWidth="1"/>
    <col min="9752" max="9752" width="4.33203125" style="979" customWidth="1"/>
    <col min="9753" max="9753" width="25.77734375" style="979" customWidth="1"/>
    <col min="9754" max="9755" width="10.88671875" style="979" customWidth="1"/>
    <col min="9756" max="9757" width="17.6640625" style="979" customWidth="1"/>
    <col min="9758" max="9759" width="15.109375" style="979" customWidth="1"/>
    <col min="9760" max="9806" width="8.88671875" style="979" customWidth="1"/>
    <col min="9807" max="9984" width="8.88671875" style="979"/>
    <col min="9985" max="9985" width="8.88671875" style="979" customWidth="1"/>
    <col min="9986" max="9986" width="2.88671875" style="979" customWidth="1"/>
    <col min="9987" max="9987" width="5.21875" style="979" customWidth="1"/>
    <col min="9988" max="9988" width="20.109375" style="979" customWidth="1"/>
    <col min="9989" max="9989" width="10.6640625" style="979" customWidth="1"/>
    <col min="9990" max="9990" width="11.5546875" style="979" customWidth="1"/>
    <col min="9991" max="9991" width="4.33203125" style="979" customWidth="1"/>
    <col min="9992" max="9992" width="14.88671875" style="979" customWidth="1"/>
    <col min="9993" max="9993" width="8.109375" style="979" customWidth="1"/>
    <col min="9994" max="9994" width="4.77734375" style="979" customWidth="1"/>
    <col min="9995" max="9995" width="6.21875" style="979" customWidth="1"/>
    <col min="9996" max="9996" width="7.109375" style="979" customWidth="1"/>
    <col min="9997" max="9997" width="4.77734375" style="979" customWidth="1"/>
    <col min="9998" max="9998" width="22.77734375" style="979" customWidth="1"/>
    <col min="9999" max="9999" width="11.21875" style="979" customWidth="1"/>
    <col min="10000" max="10000" width="12" style="979" customWidth="1"/>
    <col min="10001" max="10001" width="4.44140625" style="979" customWidth="1"/>
    <col min="10002" max="10002" width="10.109375" style="979" customWidth="1"/>
    <col min="10003" max="10003" width="7.21875" style="979" customWidth="1"/>
    <col min="10004" max="10004" width="13" style="979" customWidth="1"/>
    <col min="10005" max="10005" width="4" style="979" customWidth="1"/>
    <col min="10006" max="10007" width="10.33203125" style="979" customWidth="1"/>
    <col min="10008" max="10008" width="4.33203125" style="979" customWidth="1"/>
    <col min="10009" max="10009" width="25.77734375" style="979" customWidth="1"/>
    <col min="10010" max="10011" width="10.88671875" style="979" customWidth="1"/>
    <col min="10012" max="10013" width="17.6640625" style="979" customWidth="1"/>
    <col min="10014" max="10015" width="15.109375" style="979" customWidth="1"/>
    <col min="10016" max="10062" width="8.88671875" style="979" customWidth="1"/>
    <col min="10063" max="10240" width="8.88671875" style="979"/>
    <col min="10241" max="10241" width="8.88671875" style="979" customWidth="1"/>
    <col min="10242" max="10242" width="2.88671875" style="979" customWidth="1"/>
    <col min="10243" max="10243" width="5.21875" style="979" customWidth="1"/>
    <col min="10244" max="10244" width="20.109375" style="979" customWidth="1"/>
    <col min="10245" max="10245" width="10.6640625" style="979" customWidth="1"/>
    <col min="10246" max="10246" width="11.5546875" style="979" customWidth="1"/>
    <col min="10247" max="10247" width="4.33203125" style="979" customWidth="1"/>
    <col min="10248" max="10248" width="14.88671875" style="979" customWidth="1"/>
    <col min="10249" max="10249" width="8.109375" style="979" customWidth="1"/>
    <col min="10250" max="10250" width="4.77734375" style="979" customWidth="1"/>
    <col min="10251" max="10251" width="6.21875" style="979" customWidth="1"/>
    <col min="10252" max="10252" width="7.109375" style="979" customWidth="1"/>
    <col min="10253" max="10253" width="4.77734375" style="979" customWidth="1"/>
    <col min="10254" max="10254" width="22.77734375" style="979" customWidth="1"/>
    <col min="10255" max="10255" width="11.21875" style="979" customWidth="1"/>
    <col min="10256" max="10256" width="12" style="979" customWidth="1"/>
    <col min="10257" max="10257" width="4.44140625" style="979" customWidth="1"/>
    <col min="10258" max="10258" width="10.109375" style="979" customWidth="1"/>
    <col min="10259" max="10259" width="7.21875" style="979" customWidth="1"/>
    <col min="10260" max="10260" width="13" style="979" customWidth="1"/>
    <col min="10261" max="10261" width="4" style="979" customWidth="1"/>
    <col min="10262" max="10263" width="10.33203125" style="979" customWidth="1"/>
    <col min="10264" max="10264" width="4.33203125" style="979" customWidth="1"/>
    <col min="10265" max="10265" width="25.77734375" style="979" customWidth="1"/>
    <col min="10266" max="10267" width="10.88671875" style="979" customWidth="1"/>
    <col min="10268" max="10269" width="17.6640625" style="979" customWidth="1"/>
    <col min="10270" max="10271" width="15.109375" style="979" customWidth="1"/>
    <col min="10272" max="10318" width="8.88671875" style="979" customWidth="1"/>
    <col min="10319" max="10496" width="8.88671875" style="979"/>
    <col min="10497" max="10497" width="8.88671875" style="979" customWidth="1"/>
    <col min="10498" max="10498" width="2.88671875" style="979" customWidth="1"/>
    <col min="10499" max="10499" width="5.21875" style="979" customWidth="1"/>
    <col min="10500" max="10500" width="20.109375" style="979" customWidth="1"/>
    <col min="10501" max="10501" width="10.6640625" style="979" customWidth="1"/>
    <col min="10502" max="10502" width="11.5546875" style="979" customWidth="1"/>
    <col min="10503" max="10503" width="4.33203125" style="979" customWidth="1"/>
    <col min="10504" max="10504" width="14.88671875" style="979" customWidth="1"/>
    <col min="10505" max="10505" width="8.109375" style="979" customWidth="1"/>
    <col min="10506" max="10506" width="4.77734375" style="979" customWidth="1"/>
    <col min="10507" max="10507" width="6.21875" style="979" customWidth="1"/>
    <col min="10508" max="10508" width="7.109375" style="979" customWidth="1"/>
    <col min="10509" max="10509" width="4.77734375" style="979" customWidth="1"/>
    <col min="10510" max="10510" width="22.77734375" style="979" customWidth="1"/>
    <col min="10511" max="10511" width="11.21875" style="979" customWidth="1"/>
    <col min="10512" max="10512" width="12" style="979" customWidth="1"/>
    <col min="10513" max="10513" width="4.44140625" style="979" customWidth="1"/>
    <col min="10514" max="10514" width="10.109375" style="979" customWidth="1"/>
    <col min="10515" max="10515" width="7.21875" style="979" customWidth="1"/>
    <col min="10516" max="10516" width="13" style="979" customWidth="1"/>
    <col min="10517" max="10517" width="4" style="979" customWidth="1"/>
    <col min="10518" max="10519" width="10.33203125" style="979" customWidth="1"/>
    <col min="10520" max="10520" width="4.33203125" style="979" customWidth="1"/>
    <col min="10521" max="10521" width="25.77734375" style="979" customWidth="1"/>
    <col min="10522" max="10523" width="10.88671875" style="979" customWidth="1"/>
    <col min="10524" max="10525" width="17.6640625" style="979" customWidth="1"/>
    <col min="10526" max="10527" width="15.109375" style="979" customWidth="1"/>
    <col min="10528" max="10574" width="8.88671875" style="979" customWidth="1"/>
    <col min="10575" max="10752" width="8.88671875" style="979"/>
    <col min="10753" max="10753" width="8.88671875" style="979" customWidth="1"/>
    <col min="10754" max="10754" width="2.88671875" style="979" customWidth="1"/>
    <col min="10755" max="10755" width="5.21875" style="979" customWidth="1"/>
    <col min="10756" max="10756" width="20.109375" style="979" customWidth="1"/>
    <col min="10757" max="10757" width="10.6640625" style="979" customWidth="1"/>
    <col min="10758" max="10758" width="11.5546875" style="979" customWidth="1"/>
    <col min="10759" max="10759" width="4.33203125" style="979" customWidth="1"/>
    <col min="10760" max="10760" width="14.88671875" style="979" customWidth="1"/>
    <col min="10761" max="10761" width="8.109375" style="979" customWidth="1"/>
    <col min="10762" max="10762" width="4.77734375" style="979" customWidth="1"/>
    <col min="10763" max="10763" width="6.21875" style="979" customWidth="1"/>
    <col min="10764" max="10764" width="7.109375" style="979" customWidth="1"/>
    <col min="10765" max="10765" width="4.77734375" style="979" customWidth="1"/>
    <col min="10766" max="10766" width="22.77734375" style="979" customWidth="1"/>
    <col min="10767" max="10767" width="11.21875" style="979" customWidth="1"/>
    <col min="10768" max="10768" width="12" style="979" customWidth="1"/>
    <col min="10769" max="10769" width="4.44140625" style="979" customWidth="1"/>
    <col min="10770" max="10770" width="10.109375" style="979" customWidth="1"/>
    <col min="10771" max="10771" width="7.21875" style="979" customWidth="1"/>
    <col min="10772" max="10772" width="13" style="979" customWidth="1"/>
    <col min="10773" max="10773" width="4" style="979" customWidth="1"/>
    <col min="10774" max="10775" width="10.33203125" style="979" customWidth="1"/>
    <col min="10776" max="10776" width="4.33203125" style="979" customWidth="1"/>
    <col min="10777" max="10777" width="25.77734375" style="979" customWidth="1"/>
    <col min="10778" max="10779" width="10.88671875" style="979" customWidth="1"/>
    <col min="10780" max="10781" width="17.6640625" style="979" customWidth="1"/>
    <col min="10782" max="10783" width="15.109375" style="979" customWidth="1"/>
    <col min="10784" max="10830" width="8.88671875" style="979" customWidth="1"/>
    <col min="10831" max="11008" width="8.88671875" style="979"/>
    <col min="11009" max="11009" width="8.88671875" style="979" customWidth="1"/>
    <col min="11010" max="11010" width="2.88671875" style="979" customWidth="1"/>
    <col min="11011" max="11011" width="5.21875" style="979" customWidth="1"/>
    <col min="11012" max="11012" width="20.109375" style="979" customWidth="1"/>
    <col min="11013" max="11013" width="10.6640625" style="979" customWidth="1"/>
    <col min="11014" max="11014" width="11.5546875" style="979" customWidth="1"/>
    <col min="11015" max="11015" width="4.33203125" style="979" customWidth="1"/>
    <col min="11016" max="11016" width="14.88671875" style="979" customWidth="1"/>
    <col min="11017" max="11017" width="8.109375" style="979" customWidth="1"/>
    <col min="11018" max="11018" width="4.77734375" style="979" customWidth="1"/>
    <col min="11019" max="11019" width="6.21875" style="979" customWidth="1"/>
    <col min="11020" max="11020" width="7.109375" style="979" customWidth="1"/>
    <col min="11021" max="11021" width="4.77734375" style="979" customWidth="1"/>
    <col min="11022" max="11022" width="22.77734375" style="979" customWidth="1"/>
    <col min="11023" max="11023" width="11.21875" style="979" customWidth="1"/>
    <col min="11024" max="11024" width="12" style="979" customWidth="1"/>
    <col min="11025" max="11025" width="4.44140625" style="979" customWidth="1"/>
    <col min="11026" max="11026" width="10.109375" style="979" customWidth="1"/>
    <col min="11027" max="11027" width="7.21875" style="979" customWidth="1"/>
    <col min="11028" max="11028" width="13" style="979" customWidth="1"/>
    <col min="11029" max="11029" width="4" style="979" customWidth="1"/>
    <col min="11030" max="11031" width="10.33203125" style="979" customWidth="1"/>
    <col min="11032" max="11032" width="4.33203125" style="979" customWidth="1"/>
    <col min="11033" max="11033" width="25.77734375" style="979" customWidth="1"/>
    <col min="11034" max="11035" width="10.88671875" style="979" customWidth="1"/>
    <col min="11036" max="11037" width="17.6640625" style="979" customWidth="1"/>
    <col min="11038" max="11039" width="15.109375" style="979" customWidth="1"/>
    <col min="11040" max="11086" width="8.88671875" style="979" customWidth="1"/>
    <col min="11087" max="11264" width="8.88671875" style="979"/>
    <col min="11265" max="11265" width="8.88671875" style="979" customWidth="1"/>
    <col min="11266" max="11266" width="2.88671875" style="979" customWidth="1"/>
    <col min="11267" max="11267" width="5.21875" style="979" customWidth="1"/>
    <col min="11268" max="11268" width="20.109375" style="979" customWidth="1"/>
    <col min="11269" max="11269" width="10.6640625" style="979" customWidth="1"/>
    <col min="11270" max="11270" width="11.5546875" style="979" customWidth="1"/>
    <col min="11271" max="11271" width="4.33203125" style="979" customWidth="1"/>
    <col min="11272" max="11272" width="14.88671875" style="979" customWidth="1"/>
    <col min="11273" max="11273" width="8.109375" style="979" customWidth="1"/>
    <col min="11274" max="11274" width="4.77734375" style="979" customWidth="1"/>
    <col min="11275" max="11275" width="6.21875" style="979" customWidth="1"/>
    <col min="11276" max="11276" width="7.109375" style="979" customWidth="1"/>
    <col min="11277" max="11277" width="4.77734375" style="979" customWidth="1"/>
    <col min="11278" max="11278" width="22.77734375" style="979" customWidth="1"/>
    <col min="11279" max="11279" width="11.21875" style="979" customWidth="1"/>
    <col min="11280" max="11280" width="12" style="979" customWidth="1"/>
    <col min="11281" max="11281" width="4.44140625" style="979" customWidth="1"/>
    <col min="11282" max="11282" width="10.109375" style="979" customWidth="1"/>
    <col min="11283" max="11283" width="7.21875" style="979" customWidth="1"/>
    <col min="11284" max="11284" width="13" style="979" customWidth="1"/>
    <col min="11285" max="11285" width="4" style="979" customWidth="1"/>
    <col min="11286" max="11287" width="10.33203125" style="979" customWidth="1"/>
    <col min="11288" max="11288" width="4.33203125" style="979" customWidth="1"/>
    <col min="11289" max="11289" width="25.77734375" style="979" customWidth="1"/>
    <col min="11290" max="11291" width="10.88671875" style="979" customWidth="1"/>
    <col min="11292" max="11293" width="17.6640625" style="979" customWidth="1"/>
    <col min="11294" max="11295" width="15.109375" style="979" customWidth="1"/>
    <col min="11296" max="11342" width="8.88671875" style="979" customWidth="1"/>
    <col min="11343" max="11520" width="8.88671875" style="979"/>
    <col min="11521" max="11521" width="8.88671875" style="979" customWidth="1"/>
    <col min="11522" max="11522" width="2.88671875" style="979" customWidth="1"/>
    <col min="11523" max="11523" width="5.21875" style="979" customWidth="1"/>
    <col min="11524" max="11524" width="20.109375" style="979" customWidth="1"/>
    <col min="11525" max="11525" width="10.6640625" style="979" customWidth="1"/>
    <col min="11526" max="11526" width="11.5546875" style="979" customWidth="1"/>
    <col min="11527" max="11527" width="4.33203125" style="979" customWidth="1"/>
    <col min="11528" max="11528" width="14.88671875" style="979" customWidth="1"/>
    <col min="11529" max="11529" width="8.109375" style="979" customWidth="1"/>
    <col min="11530" max="11530" width="4.77734375" style="979" customWidth="1"/>
    <col min="11531" max="11531" width="6.21875" style="979" customWidth="1"/>
    <col min="11532" max="11532" width="7.109375" style="979" customWidth="1"/>
    <col min="11533" max="11533" width="4.77734375" style="979" customWidth="1"/>
    <col min="11534" max="11534" width="22.77734375" style="979" customWidth="1"/>
    <col min="11535" max="11535" width="11.21875" style="979" customWidth="1"/>
    <col min="11536" max="11536" width="12" style="979" customWidth="1"/>
    <col min="11537" max="11537" width="4.44140625" style="979" customWidth="1"/>
    <col min="11538" max="11538" width="10.109375" style="979" customWidth="1"/>
    <col min="11539" max="11539" width="7.21875" style="979" customWidth="1"/>
    <col min="11540" max="11540" width="13" style="979" customWidth="1"/>
    <col min="11541" max="11541" width="4" style="979" customWidth="1"/>
    <col min="11542" max="11543" width="10.33203125" style="979" customWidth="1"/>
    <col min="11544" max="11544" width="4.33203125" style="979" customWidth="1"/>
    <col min="11545" max="11545" width="25.77734375" style="979" customWidth="1"/>
    <col min="11546" max="11547" width="10.88671875" style="979" customWidth="1"/>
    <col min="11548" max="11549" width="17.6640625" style="979" customWidth="1"/>
    <col min="11550" max="11551" width="15.109375" style="979" customWidth="1"/>
    <col min="11552" max="11598" width="8.88671875" style="979" customWidth="1"/>
    <col min="11599" max="11776" width="8.88671875" style="979"/>
    <col min="11777" max="11777" width="8.88671875" style="979" customWidth="1"/>
    <col min="11778" max="11778" width="2.88671875" style="979" customWidth="1"/>
    <col min="11779" max="11779" width="5.21875" style="979" customWidth="1"/>
    <col min="11780" max="11780" width="20.109375" style="979" customWidth="1"/>
    <col min="11781" max="11781" width="10.6640625" style="979" customWidth="1"/>
    <col min="11782" max="11782" width="11.5546875" style="979" customWidth="1"/>
    <col min="11783" max="11783" width="4.33203125" style="979" customWidth="1"/>
    <col min="11784" max="11784" width="14.88671875" style="979" customWidth="1"/>
    <col min="11785" max="11785" width="8.109375" style="979" customWidth="1"/>
    <col min="11786" max="11786" width="4.77734375" style="979" customWidth="1"/>
    <col min="11787" max="11787" width="6.21875" style="979" customWidth="1"/>
    <col min="11788" max="11788" width="7.109375" style="979" customWidth="1"/>
    <col min="11789" max="11789" width="4.77734375" style="979" customWidth="1"/>
    <col min="11790" max="11790" width="22.77734375" style="979" customWidth="1"/>
    <col min="11791" max="11791" width="11.21875" style="979" customWidth="1"/>
    <col min="11792" max="11792" width="12" style="979" customWidth="1"/>
    <col min="11793" max="11793" width="4.44140625" style="979" customWidth="1"/>
    <col min="11794" max="11794" width="10.109375" style="979" customWidth="1"/>
    <col min="11795" max="11795" width="7.21875" style="979" customWidth="1"/>
    <col min="11796" max="11796" width="13" style="979" customWidth="1"/>
    <col min="11797" max="11797" width="4" style="979" customWidth="1"/>
    <col min="11798" max="11799" width="10.33203125" style="979" customWidth="1"/>
    <col min="11800" max="11800" width="4.33203125" style="979" customWidth="1"/>
    <col min="11801" max="11801" width="25.77734375" style="979" customWidth="1"/>
    <col min="11802" max="11803" width="10.88671875" style="979" customWidth="1"/>
    <col min="11804" max="11805" width="17.6640625" style="979" customWidth="1"/>
    <col min="11806" max="11807" width="15.109375" style="979" customWidth="1"/>
    <col min="11808" max="11854" width="8.88671875" style="979" customWidth="1"/>
    <col min="11855" max="12032" width="8.88671875" style="979"/>
    <col min="12033" max="12033" width="8.88671875" style="979" customWidth="1"/>
    <col min="12034" max="12034" width="2.88671875" style="979" customWidth="1"/>
    <col min="12035" max="12035" width="5.21875" style="979" customWidth="1"/>
    <col min="12036" max="12036" width="20.109375" style="979" customWidth="1"/>
    <col min="12037" max="12037" width="10.6640625" style="979" customWidth="1"/>
    <col min="12038" max="12038" width="11.5546875" style="979" customWidth="1"/>
    <col min="12039" max="12039" width="4.33203125" style="979" customWidth="1"/>
    <col min="12040" max="12040" width="14.88671875" style="979" customWidth="1"/>
    <col min="12041" max="12041" width="8.109375" style="979" customWidth="1"/>
    <col min="12042" max="12042" width="4.77734375" style="979" customWidth="1"/>
    <col min="12043" max="12043" width="6.21875" style="979" customWidth="1"/>
    <col min="12044" max="12044" width="7.109375" style="979" customWidth="1"/>
    <col min="12045" max="12045" width="4.77734375" style="979" customWidth="1"/>
    <col min="12046" max="12046" width="22.77734375" style="979" customWidth="1"/>
    <col min="12047" max="12047" width="11.21875" style="979" customWidth="1"/>
    <col min="12048" max="12048" width="12" style="979" customWidth="1"/>
    <col min="12049" max="12049" width="4.44140625" style="979" customWidth="1"/>
    <col min="12050" max="12050" width="10.109375" style="979" customWidth="1"/>
    <col min="12051" max="12051" width="7.21875" style="979" customWidth="1"/>
    <col min="12052" max="12052" width="13" style="979" customWidth="1"/>
    <col min="12053" max="12053" width="4" style="979" customWidth="1"/>
    <col min="12054" max="12055" width="10.33203125" style="979" customWidth="1"/>
    <col min="12056" max="12056" width="4.33203125" style="979" customWidth="1"/>
    <col min="12057" max="12057" width="25.77734375" style="979" customWidth="1"/>
    <col min="12058" max="12059" width="10.88671875" style="979" customWidth="1"/>
    <col min="12060" max="12061" width="17.6640625" style="979" customWidth="1"/>
    <col min="12062" max="12063" width="15.109375" style="979" customWidth="1"/>
    <col min="12064" max="12110" width="8.88671875" style="979" customWidth="1"/>
    <col min="12111" max="12288" width="8.88671875" style="979"/>
    <col min="12289" max="12289" width="8.88671875" style="979" customWidth="1"/>
    <col min="12290" max="12290" width="2.88671875" style="979" customWidth="1"/>
    <col min="12291" max="12291" width="5.21875" style="979" customWidth="1"/>
    <col min="12292" max="12292" width="20.109375" style="979" customWidth="1"/>
    <col min="12293" max="12293" width="10.6640625" style="979" customWidth="1"/>
    <col min="12294" max="12294" width="11.5546875" style="979" customWidth="1"/>
    <col min="12295" max="12295" width="4.33203125" style="979" customWidth="1"/>
    <col min="12296" max="12296" width="14.88671875" style="979" customWidth="1"/>
    <col min="12297" max="12297" width="8.109375" style="979" customWidth="1"/>
    <col min="12298" max="12298" width="4.77734375" style="979" customWidth="1"/>
    <col min="12299" max="12299" width="6.21875" style="979" customWidth="1"/>
    <col min="12300" max="12300" width="7.109375" style="979" customWidth="1"/>
    <col min="12301" max="12301" width="4.77734375" style="979" customWidth="1"/>
    <col min="12302" max="12302" width="22.77734375" style="979" customWidth="1"/>
    <col min="12303" max="12303" width="11.21875" style="979" customWidth="1"/>
    <col min="12304" max="12304" width="12" style="979" customWidth="1"/>
    <col min="12305" max="12305" width="4.44140625" style="979" customWidth="1"/>
    <col min="12306" max="12306" width="10.109375" style="979" customWidth="1"/>
    <col min="12307" max="12307" width="7.21875" style="979" customWidth="1"/>
    <col min="12308" max="12308" width="13" style="979" customWidth="1"/>
    <col min="12309" max="12309" width="4" style="979" customWidth="1"/>
    <col min="12310" max="12311" width="10.33203125" style="979" customWidth="1"/>
    <col min="12312" max="12312" width="4.33203125" style="979" customWidth="1"/>
    <col min="12313" max="12313" width="25.77734375" style="979" customWidth="1"/>
    <col min="12314" max="12315" width="10.88671875" style="979" customWidth="1"/>
    <col min="12316" max="12317" width="17.6640625" style="979" customWidth="1"/>
    <col min="12318" max="12319" width="15.109375" style="979" customWidth="1"/>
    <col min="12320" max="12366" width="8.88671875" style="979" customWidth="1"/>
    <col min="12367" max="12544" width="8.88671875" style="979"/>
    <col min="12545" max="12545" width="8.88671875" style="979" customWidth="1"/>
    <col min="12546" max="12546" width="2.88671875" style="979" customWidth="1"/>
    <col min="12547" max="12547" width="5.21875" style="979" customWidth="1"/>
    <col min="12548" max="12548" width="20.109375" style="979" customWidth="1"/>
    <col min="12549" max="12549" width="10.6640625" style="979" customWidth="1"/>
    <col min="12550" max="12550" width="11.5546875" style="979" customWidth="1"/>
    <col min="12551" max="12551" width="4.33203125" style="979" customWidth="1"/>
    <col min="12552" max="12552" width="14.88671875" style="979" customWidth="1"/>
    <col min="12553" max="12553" width="8.109375" style="979" customWidth="1"/>
    <col min="12554" max="12554" width="4.77734375" style="979" customWidth="1"/>
    <col min="12555" max="12555" width="6.21875" style="979" customWidth="1"/>
    <col min="12556" max="12556" width="7.109375" style="979" customWidth="1"/>
    <col min="12557" max="12557" width="4.77734375" style="979" customWidth="1"/>
    <col min="12558" max="12558" width="22.77734375" style="979" customWidth="1"/>
    <col min="12559" max="12559" width="11.21875" style="979" customWidth="1"/>
    <col min="12560" max="12560" width="12" style="979" customWidth="1"/>
    <col min="12561" max="12561" width="4.44140625" style="979" customWidth="1"/>
    <col min="12562" max="12562" width="10.109375" style="979" customWidth="1"/>
    <col min="12563" max="12563" width="7.21875" style="979" customWidth="1"/>
    <col min="12564" max="12564" width="13" style="979" customWidth="1"/>
    <col min="12565" max="12565" width="4" style="979" customWidth="1"/>
    <col min="12566" max="12567" width="10.33203125" style="979" customWidth="1"/>
    <col min="12568" max="12568" width="4.33203125" style="979" customWidth="1"/>
    <col min="12569" max="12569" width="25.77734375" style="979" customWidth="1"/>
    <col min="12570" max="12571" width="10.88671875" style="979" customWidth="1"/>
    <col min="12572" max="12573" width="17.6640625" style="979" customWidth="1"/>
    <col min="12574" max="12575" width="15.109375" style="979" customWidth="1"/>
    <col min="12576" max="12622" width="8.88671875" style="979" customWidth="1"/>
    <col min="12623" max="12800" width="8.88671875" style="979"/>
    <col min="12801" max="12801" width="8.88671875" style="979" customWidth="1"/>
    <col min="12802" max="12802" width="2.88671875" style="979" customWidth="1"/>
    <col min="12803" max="12803" width="5.21875" style="979" customWidth="1"/>
    <col min="12804" max="12804" width="20.109375" style="979" customWidth="1"/>
    <col min="12805" max="12805" width="10.6640625" style="979" customWidth="1"/>
    <col min="12806" max="12806" width="11.5546875" style="979" customWidth="1"/>
    <col min="12807" max="12807" width="4.33203125" style="979" customWidth="1"/>
    <col min="12808" max="12808" width="14.88671875" style="979" customWidth="1"/>
    <col min="12809" max="12809" width="8.109375" style="979" customWidth="1"/>
    <col min="12810" max="12810" width="4.77734375" style="979" customWidth="1"/>
    <col min="12811" max="12811" width="6.21875" style="979" customWidth="1"/>
    <col min="12812" max="12812" width="7.109375" style="979" customWidth="1"/>
    <col min="12813" max="12813" width="4.77734375" style="979" customWidth="1"/>
    <col min="12814" max="12814" width="22.77734375" style="979" customWidth="1"/>
    <col min="12815" max="12815" width="11.21875" style="979" customWidth="1"/>
    <col min="12816" max="12816" width="12" style="979" customWidth="1"/>
    <col min="12817" max="12817" width="4.44140625" style="979" customWidth="1"/>
    <col min="12818" max="12818" width="10.109375" style="979" customWidth="1"/>
    <col min="12819" max="12819" width="7.21875" style="979" customWidth="1"/>
    <col min="12820" max="12820" width="13" style="979" customWidth="1"/>
    <col min="12821" max="12821" width="4" style="979" customWidth="1"/>
    <col min="12822" max="12823" width="10.33203125" style="979" customWidth="1"/>
    <col min="12824" max="12824" width="4.33203125" style="979" customWidth="1"/>
    <col min="12825" max="12825" width="25.77734375" style="979" customWidth="1"/>
    <col min="12826" max="12827" width="10.88671875" style="979" customWidth="1"/>
    <col min="12828" max="12829" width="17.6640625" style="979" customWidth="1"/>
    <col min="12830" max="12831" width="15.109375" style="979" customWidth="1"/>
    <col min="12832" max="12878" width="8.88671875" style="979" customWidth="1"/>
    <col min="12879" max="13056" width="8.88671875" style="979"/>
    <col min="13057" max="13057" width="8.88671875" style="979" customWidth="1"/>
    <col min="13058" max="13058" width="2.88671875" style="979" customWidth="1"/>
    <col min="13059" max="13059" width="5.21875" style="979" customWidth="1"/>
    <col min="13060" max="13060" width="20.109375" style="979" customWidth="1"/>
    <col min="13061" max="13061" width="10.6640625" style="979" customWidth="1"/>
    <col min="13062" max="13062" width="11.5546875" style="979" customWidth="1"/>
    <col min="13063" max="13063" width="4.33203125" style="979" customWidth="1"/>
    <col min="13064" max="13064" width="14.88671875" style="979" customWidth="1"/>
    <col min="13065" max="13065" width="8.109375" style="979" customWidth="1"/>
    <col min="13066" max="13066" width="4.77734375" style="979" customWidth="1"/>
    <col min="13067" max="13067" width="6.21875" style="979" customWidth="1"/>
    <col min="13068" max="13068" width="7.109375" style="979" customWidth="1"/>
    <col min="13069" max="13069" width="4.77734375" style="979" customWidth="1"/>
    <col min="13070" max="13070" width="22.77734375" style="979" customWidth="1"/>
    <col min="13071" max="13071" width="11.21875" style="979" customWidth="1"/>
    <col min="13072" max="13072" width="12" style="979" customWidth="1"/>
    <col min="13073" max="13073" width="4.44140625" style="979" customWidth="1"/>
    <col min="13074" max="13074" width="10.109375" style="979" customWidth="1"/>
    <col min="13075" max="13075" width="7.21875" style="979" customWidth="1"/>
    <col min="13076" max="13076" width="13" style="979" customWidth="1"/>
    <col min="13077" max="13077" width="4" style="979" customWidth="1"/>
    <col min="13078" max="13079" width="10.33203125" style="979" customWidth="1"/>
    <col min="13080" max="13080" width="4.33203125" style="979" customWidth="1"/>
    <col min="13081" max="13081" width="25.77734375" style="979" customWidth="1"/>
    <col min="13082" max="13083" width="10.88671875" style="979" customWidth="1"/>
    <col min="13084" max="13085" width="17.6640625" style="979" customWidth="1"/>
    <col min="13086" max="13087" width="15.109375" style="979" customWidth="1"/>
    <col min="13088" max="13134" width="8.88671875" style="979" customWidth="1"/>
    <col min="13135" max="13312" width="8.88671875" style="979"/>
    <col min="13313" max="13313" width="8.88671875" style="979" customWidth="1"/>
    <col min="13314" max="13314" width="2.88671875" style="979" customWidth="1"/>
    <col min="13315" max="13315" width="5.21875" style="979" customWidth="1"/>
    <col min="13316" max="13316" width="20.109375" style="979" customWidth="1"/>
    <col min="13317" max="13317" width="10.6640625" style="979" customWidth="1"/>
    <col min="13318" max="13318" width="11.5546875" style="979" customWidth="1"/>
    <col min="13319" max="13319" width="4.33203125" style="979" customWidth="1"/>
    <col min="13320" max="13320" width="14.88671875" style="979" customWidth="1"/>
    <col min="13321" max="13321" width="8.109375" style="979" customWidth="1"/>
    <col min="13322" max="13322" width="4.77734375" style="979" customWidth="1"/>
    <col min="13323" max="13323" width="6.21875" style="979" customWidth="1"/>
    <col min="13324" max="13324" width="7.109375" style="979" customWidth="1"/>
    <col min="13325" max="13325" width="4.77734375" style="979" customWidth="1"/>
    <col min="13326" max="13326" width="22.77734375" style="979" customWidth="1"/>
    <col min="13327" max="13327" width="11.21875" style="979" customWidth="1"/>
    <col min="13328" max="13328" width="12" style="979" customWidth="1"/>
    <col min="13329" max="13329" width="4.44140625" style="979" customWidth="1"/>
    <col min="13330" max="13330" width="10.109375" style="979" customWidth="1"/>
    <col min="13331" max="13331" width="7.21875" style="979" customWidth="1"/>
    <col min="13332" max="13332" width="13" style="979" customWidth="1"/>
    <col min="13333" max="13333" width="4" style="979" customWidth="1"/>
    <col min="13334" max="13335" width="10.33203125" style="979" customWidth="1"/>
    <col min="13336" max="13336" width="4.33203125" style="979" customWidth="1"/>
    <col min="13337" max="13337" width="25.77734375" style="979" customWidth="1"/>
    <col min="13338" max="13339" width="10.88671875" style="979" customWidth="1"/>
    <col min="13340" max="13341" width="17.6640625" style="979" customWidth="1"/>
    <col min="13342" max="13343" width="15.109375" style="979" customWidth="1"/>
    <col min="13344" max="13390" width="8.88671875" style="979" customWidth="1"/>
    <col min="13391" max="13568" width="8.88671875" style="979"/>
    <col min="13569" max="13569" width="8.88671875" style="979" customWidth="1"/>
    <col min="13570" max="13570" width="2.88671875" style="979" customWidth="1"/>
    <col min="13571" max="13571" width="5.21875" style="979" customWidth="1"/>
    <col min="13572" max="13572" width="20.109375" style="979" customWidth="1"/>
    <col min="13573" max="13573" width="10.6640625" style="979" customWidth="1"/>
    <col min="13574" max="13574" width="11.5546875" style="979" customWidth="1"/>
    <col min="13575" max="13575" width="4.33203125" style="979" customWidth="1"/>
    <col min="13576" max="13576" width="14.88671875" style="979" customWidth="1"/>
    <col min="13577" max="13577" width="8.109375" style="979" customWidth="1"/>
    <col min="13578" max="13578" width="4.77734375" style="979" customWidth="1"/>
    <col min="13579" max="13579" width="6.21875" style="979" customWidth="1"/>
    <col min="13580" max="13580" width="7.109375" style="979" customWidth="1"/>
    <col min="13581" max="13581" width="4.77734375" style="979" customWidth="1"/>
    <col min="13582" max="13582" width="22.77734375" style="979" customWidth="1"/>
    <col min="13583" max="13583" width="11.21875" style="979" customWidth="1"/>
    <col min="13584" max="13584" width="12" style="979" customWidth="1"/>
    <col min="13585" max="13585" width="4.44140625" style="979" customWidth="1"/>
    <col min="13586" max="13586" width="10.109375" style="979" customWidth="1"/>
    <col min="13587" max="13587" width="7.21875" style="979" customWidth="1"/>
    <col min="13588" max="13588" width="13" style="979" customWidth="1"/>
    <col min="13589" max="13589" width="4" style="979" customWidth="1"/>
    <col min="13590" max="13591" width="10.33203125" style="979" customWidth="1"/>
    <col min="13592" max="13592" width="4.33203125" style="979" customWidth="1"/>
    <col min="13593" max="13593" width="25.77734375" style="979" customWidth="1"/>
    <col min="13594" max="13595" width="10.88671875" style="979" customWidth="1"/>
    <col min="13596" max="13597" width="17.6640625" style="979" customWidth="1"/>
    <col min="13598" max="13599" width="15.109375" style="979" customWidth="1"/>
    <col min="13600" max="13646" width="8.88671875" style="979" customWidth="1"/>
    <col min="13647" max="13824" width="8.88671875" style="979"/>
    <col min="13825" max="13825" width="8.88671875" style="979" customWidth="1"/>
    <col min="13826" max="13826" width="2.88671875" style="979" customWidth="1"/>
    <col min="13827" max="13827" width="5.21875" style="979" customWidth="1"/>
    <col min="13828" max="13828" width="20.109375" style="979" customWidth="1"/>
    <col min="13829" max="13829" width="10.6640625" style="979" customWidth="1"/>
    <col min="13830" max="13830" width="11.5546875" style="979" customWidth="1"/>
    <col min="13831" max="13831" width="4.33203125" style="979" customWidth="1"/>
    <col min="13832" max="13832" width="14.88671875" style="979" customWidth="1"/>
    <col min="13833" max="13833" width="8.109375" style="979" customWidth="1"/>
    <col min="13834" max="13834" width="4.77734375" style="979" customWidth="1"/>
    <col min="13835" max="13835" width="6.21875" style="979" customWidth="1"/>
    <col min="13836" max="13836" width="7.109375" style="979" customWidth="1"/>
    <col min="13837" max="13837" width="4.77734375" style="979" customWidth="1"/>
    <col min="13838" max="13838" width="22.77734375" style="979" customWidth="1"/>
    <col min="13839" max="13839" width="11.21875" style="979" customWidth="1"/>
    <col min="13840" max="13840" width="12" style="979" customWidth="1"/>
    <col min="13841" max="13841" width="4.44140625" style="979" customWidth="1"/>
    <col min="13842" max="13842" width="10.109375" style="979" customWidth="1"/>
    <col min="13843" max="13843" width="7.21875" style="979" customWidth="1"/>
    <col min="13844" max="13844" width="13" style="979" customWidth="1"/>
    <col min="13845" max="13845" width="4" style="979" customWidth="1"/>
    <col min="13846" max="13847" width="10.33203125" style="979" customWidth="1"/>
    <col min="13848" max="13848" width="4.33203125" style="979" customWidth="1"/>
    <col min="13849" max="13849" width="25.77734375" style="979" customWidth="1"/>
    <col min="13850" max="13851" width="10.88671875" style="979" customWidth="1"/>
    <col min="13852" max="13853" width="17.6640625" style="979" customWidth="1"/>
    <col min="13854" max="13855" width="15.109375" style="979" customWidth="1"/>
    <col min="13856" max="13902" width="8.88671875" style="979" customWidth="1"/>
    <col min="13903" max="14080" width="8.88671875" style="979"/>
    <col min="14081" max="14081" width="8.88671875" style="979" customWidth="1"/>
    <col min="14082" max="14082" width="2.88671875" style="979" customWidth="1"/>
    <col min="14083" max="14083" width="5.21875" style="979" customWidth="1"/>
    <col min="14084" max="14084" width="20.109375" style="979" customWidth="1"/>
    <col min="14085" max="14085" width="10.6640625" style="979" customWidth="1"/>
    <col min="14086" max="14086" width="11.5546875" style="979" customWidth="1"/>
    <col min="14087" max="14087" width="4.33203125" style="979" customWidth="1"/>
    <col min="14088" max="14088" width="14.88671875" style="979" customWidth="1"/>
    <col min="14089" max="14089" width="8.109375" style="979" customWidth="1"/>
    <col min="14090" max="14090" width="4.77734375" style="979" customWidth="1"/>
    <col min="14091" max="14091" width="6.21875" style="979" customWidth="1"/>
    <col min="14092" max="14092" width="7.109375" style="979" customWidth="1"/>
    <col min="14093" max="14093" width="4.77734375" style="979" customWidth="1"/>
    <col min="14094" max="14094" width="22.77734375" style="979" customWidth="1"/>
    <col min="14095" max="14095" width="11.21875" style="979" customWidth="1"/>
    <col min="14096" max="14096" width="12" style="979" customWidth="1"/>
    <col min="14097" max="14097" width="4.44140625" style="979" customWidth="1"/>
    <col min="14098" max="14098" width="10.109375" style="979" customWidth="1"/>
    <col min="14099" max="14099" width="7.21875" style="979" customWidth="1"/>
    <col min="14100" max="14100" width="13" style="979" customWidth="1"/>
    <col min="14101" max="14101" width="4" style="979" customWidth="1"/>
    <col min="14102" max="14103" width="10.33203125" style="979" customWidth="1"/>
    <col min="14104" max="14104" width="4.33203125" style="979" customWidth="1"/>
    <col min="14105" max="14105" width="25.77734375" style="979" customWidth="1"/>
    <col min="14106" max="14107" width="10.88671875" style="979" customWidth="1"/>
    <col min="14108" max="14109" width="17.6640625" style="979" customWidth="1"/>
    <col min="14110" max="14111" width="15.109375" style="979" customWidth="1"/>
    <col min="14112" max="14158" width="8.88671875" style="979" customWidth="1"/>
    <col min="14159" max="14336" width="8.88671875" style="979"/>
    <col min="14337" max="14337" width="8.88671875" style="979" customWidth="1"/>
    <col min="14338" max="14338" width="2.88671875" style="979" customWidth="1"/>
    <col min="14339" max="14339" width="5.21875" style="979" customWidth="1"/>
    <col min="14340" max="14340" width="20.109375" style="979" customWidth="1"/>
    <col min="14341" max="14341" width="10.6640625" style="979" customWidth="1"/>
    <col min="14342" max="14342" width="11.5546875" style="979" customWidth="1"/>
    <col min="14343" max="14343" width="4.33203125" style="979" customWidth="1"/>
    <col min="14344" max="14344" width="14.88671875" style="979" customWidth="1"/>
    <col min="14345" max="14345" width="8.109375" style="979" customWidth="1"/>
    <col min="14346" max="14346" width="4.77734375" style="979" customWidth="1"/>
    <col min="14347" max="14347" width="6.21875" style="979" customWidth="1"/>
    <col min="14348" max="14348" width="7.109375" style="979" customWidth="1"/>
    <col min="14349" max="14349" width="4.77734375" style="979" customWidth="1"/>
    <col min="14350" max="14350" width="22.77734375" style="979" customWidth="1"/>
    <col min="14351" max="14351" width="11.21875" style="979" customWidth="1"/>
    <col min="14352" max="14352" width="12" style="979" customWidth="1"/>
    <col min="14353" max="14353" width="4.44140625" style="979" customWidth="1"/>
    <col min="14354" max="14354" width="10.109375" style="979" customWidth="1"/>
    <col min="14355" max="14355" width="7.21875" style="979" customWidth="1"/>
    <col min="14356" max="14356" width="13" style="979" customWidth="1"/>
    <col min="14357" max="14357" width="4" style="979" customWidth="1"/>
    <col min="14358" max="14359" width="10.33203125" style="979" customWidth="1"/>
    <col min="14360" max="14360" width="4.33203125" style="979" customWidth="1"/>
    <col min="14361" max="14361" width="25.77734375" style="979" customWidth="1"/>
    <col min="14362" max="14363" width="10.88671875" style="979" customWidth="1"/>
    <col min="14364" max="14365" width="17.6640625" style="979" customWidth="1"/>
    <col min="14366" max="14367" width="15.109375" style="979" customWidth="1"/>
    <col min="14368" max="14414" width="8.88671875" style="979" customWidth="1"/>
    <col min="14415" max="14592" width="8.88671875" style="979"/>
    <col min="14593" max="14593" width="8.88671875" style="979" customWidth="1"/>
    <col min="14594" max="14594" width="2.88671875" style="979" customWidth="1"/>
    <col min="14595" max="14595" width="5.21875" style="979" customWidth="1"/>
    <col min="14596" max="14596" width="20.109375" style="979" customWidth="1"/>
    <col min="14597" max="14597" width="10.6640625" style="979" customWidth="1"/>
    <col min="14598" max="14598" width="11.5546875" style="979" customWidth="1"/>
    <col min="14599" max="14599" width="4.33203125" style="979" customWidth="1"/>
    <col min="14600" max="14600" width="14.88671875" style="979" customWidth="1"/>
    <col min="14601" max="14601" width="8.109375" style="979" customWidth="1"/>
    <col min="14602" max="14602" width="4.77734375" style="979" customWidth="1"/>
    <col min="14603" max="14603" width="6.21875" style="979" customWidth="1"/>
    <col min="14604" max="14604" width="7.109375" style="979" customWidth="1"/>
    <col min="14605" max="14605" width="4.77734375" style="979" customWidth="1"/>
    <col min="14606" max="14606" width="22.77734375" style="979" customWidth="1"/>
    <col min="14607" max="14607" width="11.21875" style="979" customWidth="1"/>
    <col min="14608" max="14608" width="12" style="979" customWidth="1"/>
    <col min="14609" max="14609" width="4.44140625" style="979" customWidth="1"/>
    <col min="14610" max="14610" width="10.109375" style="979" customWidth="1"/>
    <col min="14611" max="14611" width="7.21875" style="979" customWidth="1"/>
    <col min="14612" max="14612" width="13" style="979" customWidth="1"/>
    <col min="14613" max="14613" width="4" style="979" customWidth="1"/>
    <col min="14614" max="14615" width="10.33203125" style="979" customWidth="1"/>
    <col min="14616" max="14616" width="4.33203125" style="979" customWidth="1"/>
    <col min="14617" max="14617" width="25.77734375" style="979" customWidth="1"/>
    <col min="14618" max="14619" width="10.88671875" style="979" customWidth="1"/>
    <col min="14620" max="14621" width="17.6640625" style="979" customWidth="1"/>
    <col min="14622" max="14623" width="15.109375" style="979" customWidth="1"/>
    <col min="14624" max="14670" width="8.88671875" style="979" customWidth="1"/>
    <col min="14671" max="14848" width="8.88671875" style="979"/>
    <col min="14849" max="14849" width="8.88671875" style="979" customWidth="1"/>
    <col min="14850" max="14850" width="2.88671875" style="979" customWidth="1"/>
    <col min="14851" max="14851" width="5.21875" style="979" customWidth="1"/>
    <col min="14852" max="14852" width="20.109375" style="979" customWidth="1"/>
    <col min="14853" max="14853" width="10.6640625" style="979" customWidth="1"/>
    <col min="14854" max="14854" width="11.5546875" style="979" customWidth="1"/>
    <col min="14855" max="14855" width="4.33203125" style="979" customWidth="1"/>
    <col min="14856" max="14856" width="14.88671875" style="979" customWidth="1"/>
    <col min="14857" max="14857" width="8.109375" style="979" customWidth="1"/>
    <col min="14858" max="14858" width="4.77734375" style="979" customWidth="1"/>
    <col min="14859" max="14859" width="6.21875" style="979" customWidth="1"/>
    <col min="14860" max="14860" width="7.109375" style="979" customWidth="1"/>
    <col min="14861" max="14861" width="4.77734375" style="979" customWidth="1"/>
    <col min="14862" max="14862" width="22.77734375" style="979" customWidth="1"/>
    <col min="14863" max="14863" width="11.21875" style="979" customWidth="1"/>
    <col min="14864" max="14864" width="12" style="979" customWidth="1"/>
    <col min="14865" max="14865" width="4.44140625" style="979" customWidth="1"/>
    <col min="14866" max="14866" width="10.109375" style="979" customWidth="1"/>
    <col min="14867" max="14867" width="7.21875" style="979" customWidth="1"/>
    <col min="14868" max="14868" width="13" style="979" customWidth="1"/>
    <col min="14869" max="14869" width="4" style="979" customWidth="1"/>
    <col min="14870" max="14871" width="10.33203125" style="979" customWidth="1"/>
    <col min="14872" max="14872" width="4.33203125" style="979" customWidth="1"/>
    <col min="14873" max="14873" width="25.77734375" style="979" customWidth="1"/>
    <col min="14874" max="14875" width="10.88671875" style="979" customWidth="1"/>
    <col min="14876" max="14877" width="17.6640625" style="979" customWidth="1"/>
    <col min="14878" max="14879" width="15.109375" style="979" customWidth="1"/>
    <col min="14880" max="14926" width="8.88671875" style="979" customWidth="1"/>
    <col min="14927" max="15104" width="8.88671875" style="979"/>
    <col min="15105" max="15105" width="8.88671875" style="979" customWidth="1"/>
    <col min="15106" max="15106" width="2.88671875" style="979" customWidth="1"/>
    <col min="15107" max="15107" width="5.21875" style="979" customWidth="1"/>
    <col min="15108" max="15108" width="20.109375" style="979" customWidth="1"/>
    <col min="15109" max="15109" width="10.6640625" style="979" customWidth="1"/>
    <col min="15110" max="15110" width="11.5546875" style="979" customWidth="1"/>
    <col min="15111" max="15111" width="4.33203125" style="979" customWidth="1"/>
    <col min="15112" max="15112" width="14.88671875" style="979" customWidth="1"/>
    <col min="15113" max="15113" width="8.109375" style="979" customWidth="1"/>
    <col min="15114" max="15114" width="4.77734375" style="979" customWidth="1"/>
    <col min="15115" max="15115" width="6.21875" style="979" customWidth="1"/>
    <col min="15116" max="15116" width="7.109375" style="979" customWidth="1"/>
    <col min="15117" max="15117" width="4.77734375" style="979" customWidth="1"/>
    <col min="15118" max="15118" width="22.77734375" style="979" customWidth="1"/>
    <col min="15119" max="15119" width="11.21875" style="979" customWidth="1"/>
    <col min="15120" max="15120" width="12" style="979" customWidth="1"/>
    <col min="15121" max="15121" width="4.44140625" style="979" customWidth="1"/>
    <col min="15122" max="15122" width="10.109375" style="979" customWidth="1"/>
    <col min="15123" max="15123" width="7.21875" style="979" customWidth="1"/>
    <col min="15124" max="15124" width="13" style="979" customWidth="1"/>
    <col min="15125" max="15125" width="4" style="979" customWidth="1"/>
    <col min="15126" max="15127" width="10.33203125" style="979" customWidth="1"/>
    <col min="15128" max="15128" width="4.33203125" style="979" customWidth="1"/>
    <col min="15129" max="15129" width="25.77734375" style="979" customWidth="1"/>
    <col min="15130" max="15131" width="10.88671875" style="979" customWidth="1"/>
    <col min="15132" max="15133" width="17.6640625" style="979" customWidth="1"/>
    <col min="15134" max="15135" width="15.109375" style="979" customWidth="1"/>
    <col min="15136" max="15182" width="8.88671875" style="979" customWidth="1"/>
    <col min="15183" max="15360" width="8.88671875" style="979"/>
    <col min="15361" max="15361" width="8.88671875" style="979" customWidth="1"/>
    <col min="15362" max="15362" width="2.88671875" style="979" customWidth="1"/>
    <col min="15363" max="15363" width="5.21875" style="979" customWidth="1"/>
    <col min="15364" max="15364" width="20.109375" style="979" customWidth="1"/>
    <col min="15365" max="15365" width="10.6640625" style="979" customWidth="1"/>
    <col min="15366" max="15366" width="11.5546875" style="979" customWidth="1"/>
    <col min="15367" max="15367" width="4.33203125" style="979" customWidth="1"/>
    <col min="15368" max="15368" width="14.88671875" style="979" customWidth="1"/>
    <col min="15369" max="15369" width="8.109375" style="979" customWidth="1"/>
    <col min="15370" max="15370" width="4.77734375" style="979" customWidth="1"/>
    <col min="15371" max="15371" width="6.21875" style="979" customWidth="1"/>
    <col min="15372" max="15372" width="7.109375" style="979" customWidth="1"/>
    <col min="15373" max="15373" width="4.77734375" style="979" customWidth="1"/>
    <col min="15374" max="15374" width="22.77734375" style="979" customWidth="1"/>
    <col min="15375" max="15375" width="11.21875" style="979" customWidth="1"/>
    <col min="15376" max="15376" width="12" style="979" customWidth="1"/>
    <col min="15377" max="15377" width="4.44140625" style="979" customWidth="1"/>
    <col min="15378" max="15378" width="10.109375" style="979" customWidth="1"/>
    <col min="15379" max="15379" width="7.21875" style="979" customWidth="1"/>
    <col min="15380" max="15380" width="13" style="979" customWidth="1"/>
    <col min="15381" max="15381" width="4" style="979" customWidth="1"/>
    <col min="15382" max="15383" width="10.33203125" style="979" customWidth="1"/>
    <col min="15384" max="15384" width="4.33203125" style="979" customWidth="1"/>
    <col min="15385" max="15385" width="25.77734375" style="979" customWidth="1"/>
    <col min="15386" max="15387" width="10.88671875" style="979" customWidth="1"/>
    <col min="15388" max="15389" width="17.6640625" style="979" customWidth="1"/>
    <col min="15390" max="15391" width="15.109375" style="979" customWidth="1"/>
    <col min="15392" max="15438" width="8.88671875" style="979" customWidth="1"/>
    <col min="15439" max="15616" width="8.88671875" style="979"/>
    <col min="15617" max="15617" width="8.88671875" style="979" customWidth="1"/>
    <col min="15618" max="15618" width="2.88671875" style="979" customWidth="1"/>
    <col min="15619" max="15619" width="5.21875" style="979" customWidth="1"/>
    <col min="15620" max="15620" width="20.109375" style="979" customWidth="1"/>
    <col min="15621" max="15621" width="10.6640625" style="979" customWidth="1"/>
    <col min="15622" max="15622" width="11.5546875" style="979" customWidth="1"/>
    <col min="15623" max="15623" width="4.33203125" style="979" customWidth="1"/>
    <col min="15624" max="15624" width="14.88671875" style="979" customWidth="1"/>
    <col min="15625" max="15625" width="8.109375" style="979" customWidth="1"/>
    <col min="15626" max="15626" width="4.77734375" style="979" customWidth="1"/>
    <col min="15627" max="15627" width="6.21875" style="979" customWidth="1"/>
    <col min="15628" max="15628" width="7.109375" style="979" customWidth="1"/>
    <col min="15629" max="15629" width="4.77734375" style="979" customWidth="1"/>
    <col min="15630" max="15630" width="22.77734375" style="979" customWidth="1"/>
    <col min="15631" max="15631" width="11.21875" style="979" customWidth="1"/>
    <col min="15632" max="15632" width="12" style="979" customWidth="1"/>
    <col min="15633" max="15633" width="4.44140625" style="979" customWidth="1"/>
    <col min="15634" max="15634" width="10.109375" style="979" customWidth="1"/>
    <col min="15635" max="15635" width="7.21875" style="979" customWidth="1"/>
    <col min="15636" max="15636" width="13" style="979" customWidth="1"/>
    <col min="15637" max="15637" width="4" style="979" customWidth="1"/>
    <col min="15638" max="15639" width="10.33203125" style="979" customWidth="1"/>
    <col min="15640" max="15640" width="4.33203125" style="979" customWidth="1"/>
    <col min="15641" max="15641" width="25.77734375" style="979" customWidth="1"/>
    <col min="15642" max="15643" width="10.88671875" style="979" customWidth="1"/>
    <col min="15644" max="15645" width="17.6640625" style="979" customWidth="1"/>
    <col min="15646" max="15647" width="15.109375" style="979" customWidth="1"/>
    <col min="15648" max="15694" width="8.88671875" style="979" customWidth="1"/>
    <col min="15695" max="15872" width="8.88671875" style="979"/>
    <col min="15873" max="15873" width="8.88671875" style="979" customWidth="1"/>
    <col min="15874" max="15874" width="2.88671875" style="979" customWidth="1"/>
    <col min="15875" max="15875" width="5.21875" style="979" customWidth="1"/>
    <col min="15876" max="15876" width="20.109375" style="979" customWidth="1"/>
    <col min="15877" max="15877" width="10.6640625" style="979" customWidth="1"/>
    <col min="15878" max="15878" width="11.5546875" style="979" customWidth="1"/>
    <col min="15879" max="15879" width="4.33203125" style="979" customWidth="1"/>
    <col min="15880" max="15880" width="14.88671875" style="979" customWidth="1"/>
    <col min="15881" max="15881" width="8.109375" style="979" customWidth="1"/>
    <col min="15882" max="15882" width="4.77734375" style="979" customWidth="1"/>
    <col min="15883" max="15883" width="6.21875" style="979" customWidth="1"/>
    <col min="15884" max="15884" width="7.109375" style="979" customWidth="1"/>
    <col min="15885" max="15885" width="4.77734375" style="979" customWidth="1"/>
    <col min="15886" max="15886" width="22.77734375" style="979" customWidth="1"/>
    <col min="15887" max="15887" width="11.21875" style="979" customWidth="1"/>
    <col min="15888" max="15888" width="12" style="979" customWidth="1"/>
    <col min="15889" max="15889" width="4.44140625" style="979" customWidth="1"/>
    <col min="15890" max="15890" width="10.109375" style="979" customWidth="1"/>
    <col min="15891" max="15891" width="7.21875" style="979" customWidth="1"/>
    <col min="15892" max="15892" width="13" style="979" customWidth="1"/>
    <col min="15893" max="15893" width="4" style="979" customWidth="1"/>
    <col min="15894" max="15895" width="10.33203125" style="979" customWidth="1"/>
    <col min="15896" max="15896" width="4.33203125" style="979" customWidth="1"/>
    <col min="15897" max="15897" width="25.77734375" style="979" customWidth="1"/>
    <col min="15898" max="15899" width="10.88671875" style="979" customWidth="1"/>
    <col min="15900" max="15901" width="17.6640625" style="979" customWidth="1"/>
    <col min="15902" max="15903" width="15.109375" style="979" customWidth="1"/>
    <col min="15904" max="15950" width="8.88671875" style="979" customWidth="1"/>
    <col min="15951" max="16128" width="8.88671875" style="979"/>
    <col min="16129" max="16129" width="8.88671875" style="979" customWidth="1"/>
    <col min="16130" max="16130" width="2.88671875" style="979" customWidth="1"/>
    <col min="16131" max="16131" width="5.21875" style="979" customWidth="1"/>
    <col min="16132" max="16132" width="20.109375" style="979" customWidth="1"/>
    <col min="16133" max="16133" width="10.6640625" style="979" customWidth="1"/>
    <col min="16134" max="16134" width="11.5546875" style="979" customWidth="1"/>
    <col min="16135" max="16135" width="4.33203125" style="979" customWidth="1"/>
    <col min="16136" max="16136" width="14.88671875" style="979" customWidth="1"/>
    <col min="16137" max="16137" width="8.109375" style="979" customWidth="1"/>
    <col min="16138" max="16138" width="4.77734375" style="979" customWidth="1"/>
    <col min="16139" max="16139" width="6.21875" style="979" customWidth="1"/>
    <col min="16140" max="16140" width="7.109375" style="979" customWidth="1"/>
    <col min="16141" max="16141" width="4.77734375" style="979" customWidth="1"/>
    <col min="16142" max="16142" width="22.77734375" style="979" customWidth="1"/>
    <col min="16143" max="16143" width="11.21875" style="979" customWidth="1"/>
    <col min="16144" max="16144" width="12" style="979" customWidth="1"/>
    <col min="16145" max="16145" width="4.44140625" style="979" customWidth="1"/>
    <col min="16146" max="16146" width="10.109375" style="979" customWidth="1"/>
    <col min="16147" max="16147" width="7.21875" style="979" customWidth="1"/>
    <col min="16148" max="16148" width="13" style="979" customWidth="1"/>
    <col min="16149" max="16149" width="4" style="979" customWidth="1"/>
    <col min="16150" max="16151" width="10.33203125" style="979" customWidth="1"/>
    <col min="16152" max="16152" width="4.33203125" style="979" customWidth="1"/>
    <col min="16153" max="16153" width="25.77734375" style="979" customWidth="1"/>
    <col min="16154" max="16155" width="10.88671875" style="979" customWidth="1"/>
    <col min="16156" max="16157" width="17.6640625" style="979" customWidth="1"/>
    <col min="16158" max="16159" width="15.109375" style="979" customWidth="1"/>
    <col min="16160" max="16206" width="8.88671875" style="979" customWidth="1"/>
    <col min="16207" max="16384" width="8.88671875" style="979"/>
  </cols>
  <sheetData>
    <row r="1" spans="2:34" ht="12.75" thickBot="1" x14ac:dyDescent="0.25">
      <c r="B1" s="975" t="s">
        <v>69</v>
      </c>
      <c r="D1" s="1541" t="s">
        <v>72</v>
      </c>
      <c r="E1" s="1541"/>
      <c r="F1" s="977"/>
      <c r="K1" s="1541" t="s">
        <v>70</v>
      </c>
      <c r="L1" s="1541"/>
      <c r="N1" s="1541" t="s">
        <v>71</v>
      </c>
      <c r="O1" s="1541"/>
      <c r="Y1" s="980" t="s">
        <v>76</v>
      </c>
      <c r="Z1" s="980"/>
      <c r="AA1" s="980"/>
      <c r="AB1" s="981"/>
      <c r="AC1" s="980" t="s">
        <v>77</v>
      </c>
      <c r="AD1" s="980"/>
    </row>
    <row r="2" spans="2:34" ht="36" x14ac:dyDescent="0.2">
      <c r="C2" s="982"/>
      <c r="D2" s="983" t="s">
        <v>1</v>
      </c>
      <c r="E2" s="983" t="s">
        <v>67</v>
      </c>
      <c r="F2" s="984" t="s">
        <v>168</v>
      </c>
      <c r="G2" s="982"/>
      <c r="H2" s="985" t="s">
        <v>2</v>
      </c>
      <c r="I2" s="983" t="s">
        <v>73</v>
      </c>
      <c r="J2" s="982"/>
      <c r="K2" s="983" t="s">
        <v>40</v>
      </c>
      <c r="L2" s="983" t="s">
        <v>66</v>
      </c>
      <c r="M2" s="982"/>
      <c r="N2" s="983" t="s">
        <v>3</v>
      </c>
      <c r="O2" s="983" t="s">
        <v>173</v>
      </c>
      <c r="P2" s="983" t="s">
        <v>55</v>
      </c>
      <c r="Q2" s="982"/>
      <c r="R2" s="983" t="s">
        <v>14</v>
      </c>
      <c r="S2" s="983" t="s">
        <v>25</v>
      </c>
      <c r="T2" s="983" t="s">
        <v>15</v>
      </c>
      <c r="U2" s="982"/>
      <c r="V2" s="983" t="s">
        <v>16</v>
      </c>
      <c r="W2" s="983" t="s">
        <v>68</v>
      </c>
      <c r="X2" s="982"/>
      <c r="Y2" s="983" t="s">
        <v>26</v>
      </c>
      <c r="Z2" s="983" t="s">
        <v>352</v>
      </c>
      <c r="AA2" s="983" t="s">
        <v>142</v>
      </c>
      <c r="AB2" s="981"/>
      <c r="AC2" s="983" t="s">
        <v>39</v>
      </c>
      <c r="AD2" s="983" t="s">
        <v>272</v>
      </c>
      <c r="AE2" s="986" t="s">
        <v>83</v>
      </c>
      <c r="AF2" s="987" t="s">
        <v>73</v>
      </c>
      <c r="AG2" s="988" t="s">
        <v>237</v>
      </c>
      <c r="AH2" s="988" t="s">
        <v>435</v>
      </c>
    </row>
    <row r="3" spans="2:34" x14ac:dyDescent="0.2">
      <c r="C3" s="982"/>
      <c r="D3" s="984"/>
      <c r="E3" s="984"/>
      <c r="F3" s="984"/>
      <c r="G3" s="982"/>
      <c r="H3" s="989" t="s">
        <v>74</v>
      </c>
      <c r="I3" s="990" t="s">
        <v>115</v>
      </c>
      <c r="J3" s="982"/>
      <c r="K3" s="984"/>
      <c r="L3" s="984"/>
      <c r="M3" s="982"/>
      <c r="N3" s="984"/>
      <c r="O3" s="984"/>
      <c r="P3" s="984"/>
      <c r="Q3" s="982"/>
      <c r="R3" s="984"/>
      <c r="S3" s="984"/>
      <c r="T3" s="984"/>
      <c r="U3" s="982"/>
      <c r="V3" s="984"/>
      <c r="W3" s="984"/>
      <c r="X3" s="982"/>
      <c r="Y3" s="984"/>
      <c r="Z3" s="984"/>
      <c r="AA3" s="984"/>
      <c r="AB3" s="981"/>
      <c r="AC3" s="984"/>
      <c r="AD3" s="991"/>
      <c r="AE3" s="992"/>
      <c r="AF3" s="988"/>
      <c r="AG3" s="988"/>
      <c r="AH3" s="988"/>
    </row>
    <row r="4" spans="2:34" ht="15" customHeight="1" x14ac:dyDescent="0.2">
      <c r="B4" s="993">
        <v>1</v>
      </c>
      <c r="C4" s="994"/>
      <c r="D4" s="995" t="s">
        <v>434</v>
      </c>
      <c r="E4" s="995">
        <v>0</v>
      </c>
      <c r="F4" s="995" t="s">
        <v>170</v>
      </c>
      <c r="G4" s="996"/>
      <c r="H4" s="997" t="s">
        <v>84</v>
      </c>
      <c r="I4" s="998" t="s">
        <v>115</v>
      </c>
      <c r="J4" s="999"/>
      <c r="K4" s="1000" t="s">
        <v>64</v>
      </c>
      <c r="L4" s="1001"/>
      <c r="M4" s="999"/>
      <c r="N4" s="995" t="s">
        <v>4</v>
      </c>
      <c r="O4" s="998">
        <v>0</v>
      </c>
      <c r="P4" s="995">
        <v>2</v>
      </c>
      <c r="Q4" s="996"/>
      <c r="R4" s="995" t="s">
        <v>17</v>
      </c>
      <c r="S4" s="995">
        <v>1</v>
      </c>
      <c r="T4" s="995" t="s">
        <v>195</v>
      </c>
      <c r="U4" s="996"/>
      <c r="V4" s="995" t="s">
        <v>38</v>
      </c>
      <c r="W4" s="998">
        <v>0</v>
      </c>
      <c r="X4" s="996"/>
      <c r="Y4" s="284" t="s">
        <v>223</v>
      </c>
      <c r="AA4" s="998">
        <v>11.5</v>
      </c>
      <c r="AB4" s="981"/>
      <c r="AC4" s="280" t="s">
        <v>207</v>
      </c>
      <c r="AD4" s="1002">
        <v>0</v>
      </c>
      <c r="AE4" s="1003" t="s">
        <v>131</v>
      </c>
      <c r="AF4" s="1004">
        <v>0</v>
      </c>
      <c r="AG4" s="585" t="s">
        <v>457</v>
      </c>
      <c r="AH4" s="212">
        <v>3.75</v>
      </c>
    </row>
    <row r="5" spans="2:34" ht="15" customHeight="1" x14ac:dyDescent="0.2">
      <c r="B5" s="993">
        <f>SUM(B4+1)</f>
        <v>2</v>
      </c>
      <c r="C5" s="994"/>
      <c r="D5" s="1005" t="s">
        <v>49</v>
      </c>
      <c r="E5" s="995">
        <v>0</v>
      </c>
      <c r="F5" s="995" t="s">
        <v>170</v>
      </c>
      <c r="G5" s="996"/>
      <c r="H5" s="997" t="s">
        <v>86</v>
      </c>
      <c r="I5" s="998" t="s">
        <v>115</v>
      </c>
      <c r="J5" s="999"/>
      <c r="K5" s="1000" t="s">
        <v>65</v>
      </c>
      <c r="L5" s="998" t="s">
        <v>115</v>
      </c>
      <c r="M5" s="999"/>
      <c r="N5" s="995" t="s">
        <v>6</v>
      </c>
      <c r="O5" s="998">
        <v>0</v>
      </c>
      <c r="P5" s="995">
        <v>1</v>
      </c>
      <c r="Q5" s="996"/>
      <c r="R5" s="995" t="s">
        <v>18</v>
      </c>
      <c r="S5" s="995">
        <v>1</v>
      </c>
      <c r="T5" s="995" t="s">
        <v>196</v>
      </c>
      <c r="U5" s="996"/>
      <c r="V5" s="995" t="s">
        <v>28</v>
      </c>
      <c r="W5" s="998">
        <v>0</v>
      </c>
      <c r="X5" s="996"/>
      <c r="Y5" s="1006" t="s">
        <v>224</v>
      </c>
      <c r="AA5" s="998">
        <v>15</v>
      </c>
      <c r="AB5" s="981"/>
      <c r="AC5" s="280" t="s">
        <v>373</v>
      </c>
      <c r="AD5" s="1002">
        <v>12.5</v>
      </c>
      <c r="AE5" s="1003" t="s">
        <v>85</v>
      </c>
      <c r="AF5" s="1007">
        <v>0</v>
      </c>
      <c r="AG5" s="585" t="s">
        <v>458</v>
      </c>
      <c r="AH5" s="212">
        <v>3.75</v>
      </c>
    </row>
    <row r="6" spans="2:34" ht="15" customHeight="1" x14ac:dyDescent="0.2">
      <c r="B6" s="993">
        <f t="shared" ref="B6:B15" si="0">SUM(B5+1)</f>
        <v>3</v>
      </c>
      <c r="C6" s="994"/>
      <c r="D6" s="1005" t="s">
        <v>375</v>
      </c>
      <c r="E6" s="995">
        <v>0</v>
      </c>
      <c r="F6" s="141" t="s">
        <v>171</v>
      </c>
      <c r="G6" s="996"/>
      <c r="H6" s="997" t="s">
        <v>87</v>
      </c>
      <c r="I6" s="998" t="s">
        <v>115</v>
      </c>
      <c r="J6" s="999"/>
      <c r="K6" s="1000"/>
      <c r="L6" s="1001"/>
      <c r="M6" s="999"/>
      <c r="N6" s="995" t="s">
        <v>5</v>
      </c>
      <c r="O6" s="998">
        <v>0</v>
      </c>
      <c r="P6" s="995">
        <v>1</v>
      </c>
      <c r="Q6" s="996"/>
      <c r="R6" s="995" t="s">
        <v>19</v>
      </c>
      <c r="S6" s="995">
        <v>2</v>
      </c>
      <c r="T6" s="995" t="s">
        <v>199</v>
      </c>
      <c r="U6" s="996"/>
      <c r="V6" s="1008" t="s">
        <v>88</v>
      </c>
      <c r="W6" s="998">
        <v>0</v>
      </c>
      <c r="X6" s="996"/>
      <c r="Y6" s="1006" t="s">
        <v>220</v>
      </c>
      <c r="AA6" s="998">
        <v>18.5</v>
      </c>
      <c r="AB6" s="981"/>
      <c r="AC6" s="280" t="s">
        <v>372</v>
      </c>
      <c r="AD6" s="1002">
        <v>18.5</v>
      </c>
      <c r="AG6" s="585" t="s">
        <v>459</v>
      </c>
      <c r="AH6" s="212">
        <v>3.75</v>
      </c>
    </row>
    <row r="7" spans="2:34" ht="15" customHeight="1" x14ac:dyDescent="0.2">
      <c r="B7" s="993">
        <f t="shared" si="0"/>
        <v>4</v>
      </c>
      <c r="C7" s="994"/>
      <c r="D7" s="995" t="s">
        <v>832</v>
      </c>
      <c r="E7" s="995">
        <v>0</v>
      </c>
      <c r="F7" s="141" t="s">
        <v>171</v>
      </c>
      <c r="G7" s="996"/>
      <c r="H7" s="997" t="s">
        <v>89</v>
      </c>
      <c r="I7" s="998" t="s">
        <v>115</v>
      </c>
      <c r="J7" s="999"/>
      <c r="K7" s="1000"/>
      <c r="L7" s="1000"/>
      <c r="M7" s="999"/>
      <c r="N7" s="995" t="s">
        <v>175</v>
      </c>
      <c r="O7" s="998">
        <v>54</v>
      </c>
      <c r="P7" s="995">
        <v>1</v>
      </c>
      <c r="Q7" s="996"/>
      <c r="R7" s="995" t="s">
        <v>20</v>
      </c>
      <c r="S7" s="995">
        <v>2</v>
      </c>
      <c r="T7" s="995" t="s">
        <v>197</v>
      </c>
      <c r="U7" s="996"/>
      <c r="V7" s="995" t="s">
        <v>37</v>
      </c>
      <c r="W7" s="998">
        <v>0</v>
      </c>
      <c r="X7" s="996"/>
      <c r="Y7" s="1006" t="s">
        <v>274</v>
      </c>
      <c r="AA7" s="998">
        <v>11.5</v>
      </c>
      <c r="AB7" s="981"/>
      <c r="AC7" s="280" t="s">
        <v>201</v>
      </c>
      <c r="AD7" s="1002">
        <v>22</v>
      </c>
      <c r="AG7" s="585" t="s">
        <v>460</v>
      </c>
      <c r="AH7" s="212">
        <v>3.75</v>
      </c>
    </row>
    <row r="8" spans="2:34" ht="15" customHeight="1" x14ac:dyDescent="0.2">
      <c r="B8" s="993">
        <f t="shared" si="0"/>
        <v>5</v>
      </c>
      <c r="C8" s="994"/>
      <c r="D8" s="995" t="s">
        <v>839</v>
      </c>
      <c r="E8" s="995">
        <v>0</v>
      </c>
      <c r="F8" s="995" t="s">
        <v>170</v>
      </c>
      <c r="G8" s="996"/>
      <c r="H8" s="997" t="s">
        <v>90</v>
      </c>
      <c r="I8" s="998" t="s">
        <v>115</v>
      </c>
      <c r="J8" s="999"/>
      <c r="K8" s="1000"/>
      <c r="L8" s="1000"/>
      <c r="M8" s="999"/>
      <c r="N8" s="995" t="s">
        <v>176</v>
      </c>
      <c r="O8" s="998">
        <v>54</v>
      </c>
      <c r="P8" s="995">
        <v>1</v>
      </c>
      <c r="Q8" s="996"/>
      <c r="R8" s="995" t="s">
        <v>21</v>
      </c>
      <c r="S8" s="995">
        <v>2</v>
      </c>
      <c r="T8" s="995" t="s">
        <v>198</v>
      </c>
      <c r="U8" s="996"/>
      <c r="V8" s="995" t="s">
        <v>57</v>
      </c>
      <c r="W8" s="998">
        <v>0</v>
      </c>
      <c r="X8" s="996"/>
      <c r="Y8" s="1006" t="s">
        <v>225</v>
      </c>
      <c r="AA8" s="998">
        <v>11.5</v>
      </c>
      <c r="AB8" s="981"/>
      <c r="AC8" s="280" t="s">
        <v>848</v>
      </c>
      <c r="AD8" s="1002">
        <v>8</v>
      </c>
      <c r="AG8" s="585" t="s">
        <v>461</v>
      </c>
      <c r="AH8" s="212">
        <v>3.75</v>
      </c>
    </row>
    <row r="9" spans="2:34" ht="15" customHeight="1" x14ac:dyDescent="0.2">
      <c r="B9" s="993">
        <f t="shared" si="0"/>
        <v>6</v>
      </c>
      <c r="C9" s="994"/>
      <c r="D9" s="995" t="s">
        <v>845</v>
      </c>
      <c r="E9" s="995">
        <v>0</v>
      </c>
      <c r="F9" s="995" t="s">
        <v>170</v>
      </c>
      <c r="G9" s="996"/>
      <c r="H9" s="997" t="s">
        <v>91</v>
      </c>
      <c r="I9" s="998" t="s">
        <v>115</v>
      </c>
      <c r="J9" s="999"/>
      <c r="K9" s="1000"/>
      <c r="L9" s="1000"/>
      <c r="M9" s="999"/>
      <c r="N9" s="995" t="s">
        <v>177</v>
      </c>
      <c r="O9" s="998">
        <v>54</v>
      </c>
      <c r="P9" s="995">
        <v>1</v>
      </c>
      <c r="Q9" s="996"/>
      <c r="R9" s="995" t="s">
        <v>288</v>
      </c>
      <c r="S9" s="995">
        <v>3</v>
      </c>
      <c r="T9" s="995" t="s">
        <v>200</v>
      </c>
      <c r="U9" s="996"/>
      <c r="V9" s="995" t="s">
        <v>47</v>
      </c>
      <c r="W9" s="998">
        <v>0</v>
      </c>
      <c r="X9" s="996"/>
      <c r="Y9" s="1006" t="s">
        <v>226</v>
      </c>
      <c r="AA9" s="998">
        <v>15</v>
      </c>
      <c r="AB9" s="981"/>
      <c r="AC9" s="280" t="s">
        <v>849</v>
      </c>
      <c r="AD9" s="1002">
        <v>12.5</v>
      </c>
      <c r="AG9" s="978" t="s">
        <v>469</v>
      </c>
      <c r="AH9" s="212">
        <v>3.75</v>
      </c>
    </row>
    <row r="10" spans="2:34" ht="15" customHeight="1" x14ac:dyDescent="0.2">
      <c r="B10" s="993">
        <f t="shared" si="0"/>
        <v>7</v>
      </c>
      <c r="C10" s="994"/>
      <c r="D10" s="995" t="s">
        <v>427</v>
      </c>
      <c r="E10" s="995">
        <v>0</v>
      </c>
      <c r="F10" s="141" t="s">
        <v>171</v>
      </c>
      <c r="G10" s="996"/>
      <c r="H10" s="997" t="s">
        <v>92</v>
      </c>
      <c r="I10" s="998" t="s">
        <v>115</v>
      </c>
      <c r="J10" s="999"/>
      <c r="K10" s="1000"/>
      <c r="L10" s="1000"/>
      <c r="M10" s="999"/>
      <c r="N10" s="995" t="s">
        <v>183</v>
      </c>
      <c r="O10" s="998">
        <v>68</v>
      </c>
      <c r="P10" s="995">
        <v>1</v>
      </c>
      <c r="Q10" s="996"/>
      <c r="R10" s="995" t="s">
        <v>289</v>
      </c>
      <c r="S10" s="995">
        <v>3</v>
      </c>
      <c r="T10" s="995"/>
      <c r="U10" s="996"/>
      <c r="V10" s="995" t="s">
        <v>334</v>
      </c>
      <c r="W10" s="998">
        <v>0</v>
      </c>
      <c r="X10" s="996"/>
      <c r="Y10" s="1006" t="s">
        <v>227</v>
      </c>
      <c r="AA10" s="998">
        <v>18.5</v>
      </c>
      <c r="AB10" s="981"/>
      <c r="AC10" s="280" t="s">
        <v>231</v>
      </c>
      <c r="AD10" s="1002">
        <v>30</v>
      </c>
      <c r="AG10" s="978" t="s">
        <v>470</v>
      </c>
      <c r="AH10" s="212">
        <v>3.75</v>
      </c>
    </row>
    <row r="11" spans="2:34" ht="15" customHeight="1" thickBot="1" x14ac:dyDescent="0.25">
      <c r="B11" s="993">
        <f>SUM(B10+1)</f>
        <v>8</v>
      </c>
      <c r="C11" s="994"/>
      <c r="D11" s="995" t="s">
        <v>50</v>
      </c>
      <c r="E11" s="995">
        <v>0</v>
      </c>
      <c r="F11" s="141" t="s">
        <v>171</v>
      </c>
      <c r="G11" s="996"/>
      <c r="H11" s="997" t="s">
        <v>93</v>
      </c>
      <c r="I11" s="998" t="s">
        <v>115</v>
      </c>
      <c r="J11" s="999"/>
      <c r="K11" s="1000"/>
      <c r="L11" s="1000"/>
      <c r="M11" s="999"/>
      <c r="N11" s="995" t="s">
        <v>182</v>
      </c>
      <c r="O11" s="998">
        <v>68</v>
      </c>
      <c r="P11" s="995">
        <v>1</v>
      </c>
      <c r="Q11" s="996"/>
      <c r="R11" s="995" t="s">
        <v>22</v>
      </c>
      <c r="S11" s="995">
        <v>3</v>
      </c>
      <c r="T11" s="995"/>
      <c r="U11" s="996"/>
      <c r="V11" s="995" t="s">
        <v>333</v>
      </c>
      <c r="W11" s="998">
        <v>5.5</v>
      </c>
      <c r="X11" s="996"/>
      <c r="Y11" s="1006" t="s">
        <v>273</v>
      </c>
      <c r="AA11" s="998">
        <v>12.5</v>
      </c>
      <c r="AB11" s="981"/>
      <c r="AC11" s="280" t="s">
        <v>232</v>
      </c>
      <c r="AD11" s="1002">
        <v>18.5</v>
      </c>
      <c r="AG11" s="585" t="s">
        <v>462</v>
      </c>
      <c r="AH11" s="212">
        <v>3.75</v>
      </c>
    </row>
    <row r="12" spans="2:34" ht="15" customHeight="1" x14ac:dyDescent="0.2">
      <c r="B12" s="993">
        <f>SUM(B11+1)</f>
        <v>9</v>
      </c>
      <c r="C12" s="994"/>
      <c r="D12" s="995" t="s">
        <v>300</v>
      </c>
      <c r="E12" s="995">
        <v>0</v>
      </c>
      <c r="F12" s="995" t="s">
        <v>170</v>
      </c>
      <c r="G12" s="996"/>
      <c r="H12" s="997" t="s">
        <v>94</v>
      </c>
      <c r="I12" s="998" t="s">
        <v>115</v>
      </c>
      <c r="J12" s="999"/>
      <c r="K12" s="1000"/>
      <c r="L12" s="1000"/>
      <c r="M12" s="999"/>
      <c r="N12" s="995" t="s">
        <v>184</v>
      </c>
      <c r="O12" s="998">
        <v>68</v>
      </c>
      <c r="P12" s="995">
        <v>1</v>
      </c>
      <c r="Q12" s="996"/>
      <c r="R12" s="995" t="s">
        <v>23</v>
      </c>
      <c r="S12" s="995">
        <v>3</v>
      </c>
      <c r="T12" s="983" t="s">
        <v>307</v>
      </c>
      <c r="U12" s="996"/>
      <c r="V12" s="1009" t="s">
        <v>58</v>
      </c>
      <c r="W12" s="1010">
        <v>11</v>
      </c>
      <c r="X12" s="996"/>
      <c r="Y12" s="1006" t="s">
        <v>828</v>
      </c>
      <c r="AA12" s="998">
        <v>16</v>
      </c>
      <c r="AB12" s="981"/>
      <c r="AC12" s="280" t="s">
        <v>233</v>
      </c>
      <c r="AD12" s="1002">
        <v>24</v>
      </c>
      <c r="AG12" s="585" t="s">
        <v>463</v>
      </c>
      <c r="AH12" s="212">
        <v>3.75</v>
      </c>
    </row>
    <row r="13" spans="2:34" ht="15" customHeight="1" x14ac:dyDescent="0.2">
      <c r="B13" s="993">
        <f t="shared" si="0"/>
        <v>10</v>
      </c>
      <c r="C13" s="994"/>
      <c r="D13" s="995" t="s">
        <v>729</v>
      </c>
      <c r="E13" s="995">
        <v>0</v>
      </c>
      <c r="F13" s="995" t="s">
        <v>170</v>
      </c>
      <c r="G13" s="996"/>
      <c r="H13" s="997" t="s">
        <v>95</v>
      </c>
      <c r="I13" s="998" t="s">
        <v>115</v>
      </c>
      <c r="J13" s="999"/>
      <c r="K13" s="1000"/>
      <c r="L13" s="1000"/>
      <c r="M13" s="999"/>
      <c r="N13" s="995" t="s">
        <v>185</v>
      </c>
      <c r="O13" s="998">
        <v>87</v>
      </c>
      <c r="P13" s="995">
        <v>1</v>
      </c>
      <c r="Q13" s="996"/>
      <c r="R13" s="995" t="s">
        <v>32</v>
      </c>
      <c r="S13" s="995">
        <v>4</v>
      </c>
      <c r="T13" s="995" t="s">
        <v>195</v>
      </c>
      <c r="U13" s="996"/>
      <c r="V13" s="1009" t="s">
        <v>730</v>
      </c>
      <c r="W13" s="1010">
        <v>9</v>
      </c>
      <c r="X13" s="996"/>
      <c r="Y13" s="1006" t="s">
        <v>212</v>
      </c>
      <c r="AA13" s="998">
        <v>15</v>
      </c>
      <c r="AB13" s="981"/>
      <c r="AC13" s="280" t="s">
        <v>330</v>
      </c>
      <c r="AD13" s="1002">
        <v>24</v>
      </c>
      <c r="AG13" s="585" t="s">
        <v>241</v>
      </c>
      <c r="AH13" s="212">
        <v>3.75</v>
      </c>
    </row>
    <row r="14" spans="2:34" ht="15" customHeight="1" x14ac:dyDescent="0.2">
      <c r="B14" s="993">
        <f t="shared" si="0"/>
        <v>11</v>
      </c>
      <c r="C14" s="994"/>
      <c r="D14" s="995" t="s">
        <v>75</v>
      </c>
      <c r="E14" s="995">
        <v>0</v>
      </c>
      <c r="F14" s="141" t="s">
        <v>171</v>
      </c>
      <c r="G14" s="996"/>
      <c r="H14" s="997" t="s">
        <v>96</v>
      </c>
      <c r="I14" s="998" t="s">
        <v>115</v>
      </c>
      <c r="J14" s="999"/>
      <c r="K14" s="1000"/>
      <c r="L14" s="1000"/>
      <c r="M14" s="999"/>
      <c r="N14" s="995" t="s">
        <v>186</v>
      </c>
      <c r="O14" s="998">
        <v>87</v>
      </c>
      <c r="P14" s="995">
        <v>1</v>
      </c>
      <c r="Q14" s="996"/>
      <c r="R14" s="995" t="s">
        <v>24</v>
      </c>
      <c r="S14" s="995">
        <v>4</v>
      </c>
      <c r="T14" s="995" t="s">
        <v>196</v>
      </c>
      <c r="U14" s="996"/>
      <c r="V14" s="1009" t="s">
        <v>731</v>
      </c>
      <c r="W14" s="1010">
        <v>9</v>
      </c>
      <c r="X14" s="996"/>
      <c r="Y14" s="1006" t="s">
        <v>221</v>
      </c>
      <c r="AA14" s="998">
        <v>18.5</v>
      </c>
      <c r="AB14" s="995"/>
      <c r="AC14" s="280" t="s">
        <v>234</v>
      </c>
      <c r="AD14" s="1002">
        <v>15</v>
      </c>
      <c r="AG14" s="585" t="s">
        <v>240</v>
      </c>
      <c r="AH14" s="212">
        <v>7</v>
      </c>
    </row>
    <row r="15" spans="2:34" ht="15" customHeight="1" x14ac:dyDescent="0.2">
      <c r="B15" s="993">
        <f t="shared" si="0"/>
        <v>12</v>
      </c>
      <c r="C15" s="994"/>
      <c r="D15" s="995" t="s">
        <v>655</v>
      </c>
      <c r="E15" s="995">
        <v>0</v>
      </c>
      <c r="F15" s="995" t="s">
        <v>170</v>
      </c>
      <c r="G15" s="996"/>
      <c r="H15" s="997" t="s">
        <v>97</v>
      </c>
      <c r="I15" s="998" t="s">
        <v>115</v>
      </c>
      <c r="J15" s="999"/>
      <c r="K15" s="1000"/>
      <c r="L15" s="1000"/>
      <c r="M15" s="999"/>
      <c r="N15" s="995" t="s">
        <v>187</v>
      </c>
      <c r="O15" s="998">
        <v>87</v>
      </c>
      <c r="P15" s="995">
        <v>1</v>
      </c>
      <c r="Q15" s="996"/>
      <c r="R15" s="995" t="s">
        <v>33</v>
      </c>
      <c r="S15" s="995">
        <v>4</v>
      </c>
      <c r="T15" s="995" t="s">
        <v>197</v>
      </c>
      <c r="U15" s="996"/>
      <c r="V15" s="1011" t="s">
        <v>732</v>
      </c>
      <c r="W15" s="1010">
        <v>9</v>
      </c>
      <c r="X15" s="996"/>
      <c r="Y15" s="1006" t="s">
        <v>830</v>
      </c>
      <c r="AA15" s="998">
        <v>22</v>
      </c>
      <c r="AB15" s="995"/>
      <c r="AC15" s="280" t="s">
        <v>436</v>
      </c>
      <c r="AD15" s="1002">
        <v>15</v>
      </c>
      <c r="AG15" s="585" t="s">
        <v>464</v>
      </c>
      <c r="AH15" s="212">
        <v>7</v>
      </c>
    </row>
    <row r="16" spans="2:34" ht="15" customHeight="1" x14ac:dyDescent="0.2">
      <c r="C16" s="994"/>
      <c r="D16" s="995" t="s">
        <v>733</v>
      </c>
      <c r="E16" s="995">
        <v>0</v>
      </c>
      <c r="F16" s="995" t="s">
        <v>170</v>
      </c>
      <c r="G16" s="996"/>
      <c r="H16" s="997" t="s">
        <v>98</v>
      </c>
      <c r="I16" s="998" t="s">
        <v>115</v>
      </c>
      <c r="J16" s="999"/>
      <c r="K16" s="1000"/>
      <c r="L16" s="1000"/>
      <c r="M16" s="999"/>
      <c r="N16" s="995" t="s">
        <v>342</v>
      </c>
      <c r="O16" s="998">
        <v>54</v>
      </c>
      <c r="P16" s="995">
        <v>1</v>
      </c>
      <c r="Q16" s="996"/>
      <c r="R16" s="995" t="s">
        <v>134</v>
      </c>
      <c r="S16" s="995">
        <v>4</v>
      </c>
      <c r="T16" s="995" t="s">
        <v>198</v>
      </c>
      <c r="U16" s="996"/>
      <c r="V16" s="1009" t="s">
        <v>734</v>
      </c>
      <c r="W16" s="1010">
        <v>9</v>
      </c>
      <c r="X16" s="996"/>
      <c r="Y16" s="1006" t="s">
        <v>475</v>
      </c>
      <c r="AA16" s="998">
        <v>6</v>
      </c>
      <c r="AB16" s="995"/>
      <c r="AC16" s="280" t="s">
        <v>296</v>
      </c>
      <c r="AD16" s="1002">
        <v>0</v>
      </c>
      <c r="AG16" s="585" t="s">
        <v>465</v>
      </c>
      <c r="AH16" s="212">
        <v>7</v>
      </c>
    </row>
    <row r="17" spans="3:34" ht="15" customHeight="1" thickBot="1" x14ac:dyDescent="0.25">
      <c r="C17" s="994"/>
      <c r="D17" s="995" t="s">
        <v>312</v>
      </c>
      <c r="E17" s="995">
        <v>19</v>
      </c>
      <c r="F17" s="995" t="s">
        <v>735</v>
      </c>
      <c r="G17" s="996"/>
      <c r="H17" s="997" t="s">
        <v>99</v>
      </c>
      <c r="I17" s="998" t="s">
        <v>115</v>
      </c>
      <c r="J17" s="999"/>
      <c r="K17" s="1000"/>
      <c r="L17" s="1000"/>
      <c r="M17" s="999"/>
      <c r="N17" s="995" t="s">
        <v>343</v>
      </c>
      <c r="O17" s="998">
        <v>54</v>
      </c>
      <c r="P17" s="995">
        <v>1</v>
      </c>
      <c r="Q17" s="996"/>
      <c r="R17" s="995" t="s">
        <v>135</v>
      </c>
      <c r="S17" s="995">
        <v>4</v>
      </c>
      <c r="T17" s="995"/>
      <c r="U17" s="996"/>
      <c r="V17" s="1009" t="s">
        <v>736</v>
      </c>
      <c r="W17" s="1010">
        <v>9</v>
      </c>
      <c r="X17" s="996"/>
      <c r="Y17" s="1006" t="s">
        <v>370</v>
      </c>
      <c r="AA17" s="998">
        <v>10</v>
      </c>
      <c r="AB17" s="995"/>
      <c r="AC17" s="1012"/>
      <c r="AG17" s="212" t="s">
        <v>239</v>
      </c>
      <c r="AH17" s="212">
        <v>7475</v>
      </c>
    </row>
    <row r="18" spans="3:34" ht="24" x14ac:dyDescent="0.2">
      <c r="C18" s="994"/>
      <c r="D18" s="995" t="s">
        <v>313</v>
      </c>
      <c r="E18" s="995">
        <v>19</v>
      </c>
      <c r="F18" s="995" t="s">
        <v>735</v>
      </c>
      <c r="G18" s="996"/>
      <c r="H18" s="997" t="s">
        <v>385</v>
      </c>
      <c r="I18" s="998" t="s">
        <v>115</v>
      </c>
      <c r="J18" s="999"/>
      <c r="K18" s="1000"/>
      <c r="L18" s="1000"/>
      <c r="M18" s="999"/>
      <c r="N18" s="995" t="s">
        <v>344</v>
      </c>
      <c r="O18" s="998">
        <v>54</v>
      </c>
      <c r="P18" s="995">
        <v>1</v>
      </c>
      <c r="Q18" s="996"/>
      <c r="R18" s="995" t="s">
        <v>124</v>
      </c>
      <c r="S18" s="995">
        <v>5</v>
      </c>
      <c r="T18" s="983" t="s">
        <v>308</v>
      </c>
      <c r="U18" s="996"/>
      <c r="V18" s="1009" t="s">
        <v>737</v>
      </c>
      <c r="W18" s="1010">
        <v>9</v>
      </c>
      <c r="X18" s="996"/>
      <c r="Y18" s="1006" t="s">
        <v>371</v>
      </c>
      <c r="AA18" s="998">
        <v>12.5</v>
      </c>
      <c r="AB18" s="995"/>
      <c r="AC18" s="1012"/>
      <c r="AG18" s="212" t="s">
        <v>467</v>
      </c>
      <c r="AH18" s="212">
        <v>4</v>
      </c>
    </row>
    <row r="19" spans="3:34" x14ac:dyDescent="0.2">
      <c r="C19" s="994"/>
      <c r="D19" s="995" t="s">
        <v>833</v>
      </c>
      <c r="E19" s="995">
        <v>19</v>
      </c>
      <c r="F19" s="995" t="s">
        <v>735</v>
      </c>
      <c r="G19" s="996"/>
      <c r="H19" s="997" t="s">
        <v>441</v>
      </c>
      <c r="I19" s="998" t="s">
        <v>115</v>
      </c>
      <c r="J19" s="999"/>
      <c r="K19" s="1000"/>
      <c r="L19" s="1000"/>
      <c r="M19" s="999"/>
      <c r="N19" s="995" t="s">
        <v>132</v>
      </c>
      <c r="O19" s="998" t="s">
        <v>115</v>
      </c>
      <c r="P19" s="995">
        <v>1</v>
      </c>
      <c r="Q19" s="996"/>
      <c r="R19" s="995" t="s">
        <v>34</v>
      </c>
      <c r="S19" s="995">
        <v>5</v>
      </c>
      <c r="T19" s="995" t="s">
        <v>197</v>
      </c>
      <c r="U19" s="996"/>
      <c r="V19" s="1009" t="s">
        <v>738</v>
      </c>
      <c r="W19" s="1010">
        <v>9</v>
      </c>
      <c r="X19" s="996"/>
      <c r="Y19" s="1006" t="s">
        <v>216</v>
      </c>
      <c r="AA19" s="998">
        <v>15</v>
      </c>
      <c r="AB19" s="995"/>
      <c r="AC19" s="1012"/>
      <c r="AG19" s="212" t="s">
        <v>483</v>
      </c>
      <c r="AH19" s="212">
        <v>7</v>
      </c>
    </row>
    <row r="20" spans="3:34" ht="15" customHeight="1" x14ac:dyDescent="0.2">
      <c r="C20" s="994"/>
      <c r="D20" s="995" t="s">
        <v>834</v>
      </c>
      <c r="E20" s="995">
        <v>19</v>
      </c>
      <c r="F20" s="995" t="s">
        <v>735</v>
      </c>
      <c r="G20" s="996"/>
      <c r="H20" s="997" t="s">
        <v>442</v>
      </c>
      <c r="I20" s="998" t="s">
        <v>115</v>
      </c>
      <c r="J20" s="999"/>
      <c r="K20" s="1000"/>
      <c r="L20" s="1000"/>
      <c r="M20" s="999"/>
      <c r="N20" s="995"/>
      <c r="O20" s="995"/>
      <c r="P20" s="995"/>
      <c r="Q20" s="996"/>
      <c r="R20" s="995" t="s">
        <v>35</v>
      </c>
      <c r="S20" s="995">
        <v>5</v>
      </c>
      <c r="T20" s="995" t="s">
        <v>198</v>
      </c>
      <c r="U20" s="996"/>
      <c r="V20" s="1009" t="s">
        <v>739</v>
      </c>
      <c r="W20" s="1010">
        <f>9+5.5</f>
        <v>14.5</v>
      </c>
      <c r="X20" s="996"/>
      <c r="Y20" s="284" t="s">
        <v>228</v>
      </c>
      <c r="AA20" s="998">
        <v>11.5</v>
      </c>
      <c r="AB20" s="995"/>
      <c r="AC20" s="1012"/>
      <c r="AG20" s="212" t="s">
        <v>437</v>
      </c>
      <c r="AH20" s="212">
        <v>3.75</v>
      </c>
    </row>
    <row r="21" spans="3:34" ht="15" customHeight="1" x14ac:dyDescent="0.2">
      <c r="C21" s="994"/>
      <c r="D21" s="995" t="s">
        <v>322</v>
      </c>
      <c r="E21" s="995">
        <v>19</v>
      </c>
      <c r="F21" s="995" t="s">
        <v>735</v>
      </c>
      <c r="G21" s="996"/>
      <c r="H21" s="997" t="s">
        <v>443</v>
      </c>
      <c r="I21" s="998" t="s">
        <v>115</v>
      </c>
      <c r="J21" s="999"/>
      <c r="K21" s="1000"/>
      <c r="L21" s="1000"/>
      <c r="M21" s="999"/>
      <c r="N21" s="995"/>
      <c r="O21" s="995"/>
      <c r="P21" s="995"/>
      <c r="Q21" s="996"/>
      <c r="R21" s="995" t="s">
        <v>125</v>
      </c>
      <c r="S21" s="995">
        <v>5</v>
      </c>
      <c r="T21" s="995"/>
      <c r="U21" s="996"/>
      <c r="V21" s="995" t="s">
        <v>740</v>
      </c>
      <c r="W21" s="1010">
        <f>9+11</f>
        <v>20</v>
      </c>
      <c r="X21" s="996"/>
      <c r="Y21" s="1006" t="s">
        <v>229</v>
      </c>
      <c r="AA21" s="998">
        <v>15</v>
      </c>
      <c r="AB21" s="995"/>
      <c r="AC21" s="1012"/>
      <c r="AG21" s="212" t="s">
        <v>244</v>
      </c>
      <c r="AH21" s="212">
        <v>7475</v>
      </c>
    </row>
    <row r="22" spans="3:34" ht="15" customHeight="1" thickBot="1" x14ac:dyDescent="0.25">
      <c r="C22" s="994"/>
      <c r="D22" s="995" t="s">
        <v>323</v>
      </c>
      <c r="E22" s="995">
        <v>19</v>
      </c>
      <c r="F22" s="995" t="s">
        <v>735</v>
      </c>
      <c r="G22" s="996"/>
      <c r="H22" s="997" t="s">
        <v>444</v>
      </c>
      <c r="I22" s="998" t="s">
        <v>115</v>
      </c>
      <c r="J22" s="999"/>
      <c r="K22" s="995"/>
      <c r="L22" s="995"/>
      <c r="M22" s="996"/>
      <c r="N22" s="995"/>
      <c r="O22" s="995"/>
      <c r="P22" s="995"/>
      <c r="Q22" s="996"/>
      <c r="R22" s="995" t="s">
        <v>124</v>
      </c>
      <c r="S22" s="995">
        <v>5</v>
      </c>
      <c r="T22" s="995"/>
      <c r="U22" s="996"/>
      <c r="V22" s="995"/>
      <c r="W22" s="995"/>
      <c r="X22" s="996"/>
      <c r="Y22" s="1006" t="s">
        <v>211</v>
      </c>
      <c r="AA22" s="998">
        <v>18.5</v>
      </c>
      <c r="AB22" s="995"/>
      <c r="AC22" s="1012"/>
    </row>
    <row r="23" spans="3:34" ht="15" customHeight="1" x14ac:dyDescent="0.2">
      <c r="C23" s="994"/>
      <c r="D23" s="995" t="s">
        <v>314</v>
      </c>
      <c r="E23" s="995">
        <v>19</v>
      </c>
      <c r="F23" s="995" t="s">
        <v>735</v>
      </c>
      <c r="G23" s="996"/>
      <c r="H23" s="997" t="s">
        <v>445</v>
      </c>
      <c r="I23" s="998" t="s">
        <v>115</v>
      </c>
      <c r="J23" s="999"/>
      <c r="K23" s="995"/>
      <c r="L23" s="995"/>
      <c r="M23" s="996"/>
      <c r="N23" s="995"/>
      <c r="O23" s="995"/>
      <c r="P23" s="995"/>
      <c r="Q23" s="996"/>
      <c r="R23" s="995" t="s">
        <v>126</v>
      </c>
      <c r="S23" s="995">
        <v>6</v>
      </c>
      <c r="T23" s="1013" t="s">
        <v>529</v>
      </c>
      <c r="U23" s="996"/>
      <c r="V23" s="995"/>
      <c r="W23" s="995"/>
      <c r="X23" s="996"/>
      <c r="Y23" s="1006" t="s">
        <v>831</v>
      </c>
      <c r="AA23" s="998">
        <v>15</v>
      </c>
      <c r="AB23" s="995"/>
      <c r="AC23" s="1012"/>
    </row>
    <row r="24" spans="3:34" ht="15" customHeight="1" x14ac:dyDescent="0.2">
      <c r="C24" s="994"/>
      <c r="D24" s="995" t="s">
        <v>315</v>
      </c>
      <c r="E24" s="995">
        <v>19</v>
      </c>
      <c r="F24" s="995" t="s">
        <v>735</v>
      </c>
      <c r="G24" s="996"/>
      <c r="H24" s="997" t="s">
        <v>446</v>
      </c>
      <c r="I24" s="998" t="s">
        <v>115</v>
      </c>
      <c r="J24" s="999"/>
      <c r="K24" s="995"/>
      <c r="L24" s="995"/>
      <c r="M24" s="996"/>
      <c r="N24" s="995"/>
      <c r="O24" s="995"/>
      <c r="P24" s="995"/>
      <c r="Q24" s="996"/>
      <c r="R24" s="995" t="s">
        <v>36</v>
      </c>
      <c r="S24" s="995">
        <v>6</v>
      </c>
      <c r="T24" s="1014" t="s">
        <v>195</v>
      </c>
      <c r="U24" s="996"/>
      <c r="V24" s="995"/>
      <c r="W24" s="995"/>
      <c r="X24" s="996"/>
      <c r="Y24" s="1006" t="s">
        <v>829</v>
      </c>
      <c r="AA24" s="998">
        <v>22</v>
      </c>
      <c r="AB24" s="995"/>
      <c r="AC24" s="1012"/>
    </row>
    <row r="25" spans="3:34" ht="15" customHeight="1" x14ac:dyDescent="0.2">
      <c r="C25" s="994"/>
      <c r="D25" s="995" t="s">
        <v>316</v>
      </c>
      <c r="E25" s="995">
        <v>19</v>
      </c>
      <c r="F25" s="995" t="s">
        <v>735</v>
      </c>
      <c r="G25" s="996"/>
      <c r="H25" s="997" t="s">
        <v>447</v>
      </c>
      <c r="I25" s="998" t="s">
        <v>115</v>
      </c>
      <c r="J25" s="999"/>
      <c r="K25" s="995"/>
      <c r="L25" s="995"/>
      <c r="M25" s="996"/>
      <c r="N25" s="995"/>
      <c r="O25" s="995"/>
      <c r="P25" s="995"/>
      <c r="Q25" s="996"/>
      <c r="R25" s="995" t="s">
        <v>127</v>
      </c>
      <c r="S25" s="995">
        <v>6</v>
      </c>
      <c r="T25" s="1014" t="s">
        <v>197</v>
      </c>
      <c r="U25" s="996"/>
      <c r="V25" s="995"/>
      <c r="W25" s="995"/>
      <c r="X25" s="996"/>
      <c r="Y25" s="1015" t="s">
        <v>222</v>
      </c>
      <c r="AA25" s="1016">
        <v>15</v>
      </c>
      <c r="AB25" s="1017"/>
      <c r="AC25" s="1012"/>
    </row>
    <row r="26" spans="3:34" ht="15" customHeight="1" x14ac:dyDescent="0.2">
      <c r="C26" s="994"/>
      <c r="D26" s="995" t="s">
        <v>317</v>
      </c>
      <c r="E26" s="995">
        <v>19</v>
      </c>
      <c r="F26" s="995" t="s">
        <v>735</v>
      </c>
      <c r="G26" s="996"/>
      <c r="H26" s="997" t="s">
        <v>448</v>
      </c>
      <c r="I26" s="998" t="s">
        <v>115</v>
      </c>
      <c r="J26" s="999"/>
      <c r="K26" s="995"/>
      <c r="L26" s="995"/>
      <c r="M26" s="996"/>
      <c r="N26" s="995"/>
      <c r="O26" s="995"/>
      <c r="P26" s="995"/>
      <c r="Q26" s="996"/>
      <c r="R26" s="995" t="s">
        <v>128</v>
      </c>
      <c r="S26" s="995">
        <v>7</v>
      </c>
      <c r="T26" s="1014" t="s">
        <v>492</v>
      </c>
      <c r="U26" s="996"/>
      <c r="V26" s="995"/>
      <c r="W26" s="995"/>
      <c r="X26" s="996"/>
      <c r="Y26" s="1018" t="s">
        <v>354</v>
      </c>
      <c r="Z26" s="1019"/>
      <c r="AA26" s="1020">
        <v>18.5</v>
      </c>
      <c r="AB26" s="1021">
        <v>70</v>
      </c>
      <c r="AC26" s="1012"/>
    </row>
    <row r="27" spans="3:34" ht="15" customHeight="1" x14ac:dyDescent="0.2">
      <c r="C27" s="994"/>
      <c r="D27" s="995" t="s">
        <v>835</v>
      </c>
      <c r="E27" s="995">
        <v>19</v>
      </c>
      <c r="F27" s="995" t="s">
        <v>735</v>
      </c>
      <c r="G27" s="996"/>
      <c r="H27" s="997" t="s">
        <v>449</v>
      </c>
      <c r="I27" s="998" t="s">
        <v>115</v>
      </c>
      <c r="J27" s="999"/>
      <c r="K27" s="995"/>
      <c r="L27" s="995"/>
      <c r="M27" s="996"/>
      <c r="N27" s="995"/>
      <c r="O27" s="995"/>
      <c r="P27" s="995"/>
      <c r="Q27" s="996"/>
      <c r="R27" s="995" t="s">
        <v>129</v>
      </c>
      <c r="S27" s="995">
        <v>7</v>
      </c>
      <c r="T27" s="995"/>
      <c r="U27" s="996"/>
      <c r="V27" s="995"/>
      <c r="W27" s="995"/>
      <c r="X27" s="996"/>
      <c r="Y27" s="1018" t="s">
        <v>355</v>
      </c>
      <c r="Z27" s="1019"/>
      <c r="AA27" s="1020">
        <v>18.5</v>
      </c>
      <c r="AB27" s="1021">
        <v>70</v>
      </c>
      <c r="AC27" s="1012"/>
    </row>
    <row r="28" spans="3:34" ht="15" customHeight="1" x14ac:dyDescent="0.2">
      <c r="C28" s="994"/>
      <c r="D28" s="995" t="s">
        <v>836</v>
      </c>
      <c r="E28" s="995">
        <v>19</v>
      </c>
      <c r="F28" s="995" t="s">
        <v>735</v>
      </c>
      <c r="G28" s="996"/>
      <c r="H28" s="997" t="s">
        <v>450</v>
      </c>
      <c r="I28" s="998" t="s">
        <v>115</v>
      </c>
      <c r="J28" s="999"/>
      <c r="K28" s="995"/>
      <c r="L28" s="995"/>
      <c r="M28" s="996"/>
      <c r="N28" s="995"/>
      <c r="O28" s="995"/>
      <c r="P28" s="995"/>
      <c r="Q28" s="996"/>
      <c r="R28" s="995" t="s">
        <v>130</v>
      </c>
      <c r="S28" s="995">
        <v>8</v>
      </c>
      <c r="T28" s="995"/>
      <c r="U28" s="996"/>
      <c r="V28" s="995"/>
      <c r="W28" s="995"/>
      <c r="X28" s="996"/>
      <c r="Y28" s="1022" t="s">
        <v>356</v>
      </c>
      <c r="Z28" s="1023"/>
      <c r="AA28" s="998">
        <v>18.5</v>
      </c>
      <c r="AB28" s="1024">
        <v>70</v>
      </c>
      <c r="AC28" s="1012"/>
    </row>
    <row r="29" spans="3:34" ht="15" customHeight="1" thickBot="1" x14ac:dyDescent="0.25">
      <c r="C29" s="994"/>
      <c r="D29" s="995" t="s">
        <v>318</v>
      </c>
      <c r="E29" s="995">
        <v>19</v>
      </c>
      <c r="F29" s="995" t="s">
        <v>735</v>
      </c>
      <c r="G29" s="996"/>
      <c r="H29" s="997" t="s">
        <v>451</v>
      </c>
      <c r="I29" s="998" t="s">
        <v>115</v>
      </c>
      <c r="J29" s="999"/>
      <c r="K29" s="995"/>
      <c r="L29" s="995"/>
      <c r="M29" s="996"/>
      <c r="N29" s="995"/>
      <c r="O29" s="995"/>
      <c r="P29" s="995"/>
      <c r="Q29" s="996"/>
      <c r="R29" s="995"/>
      <c r="S29" s="995"/>
      <c r="T29" s="995"/>
      <c r="U29" s="996"/>
      <c r="V29" s="995"/>
      <c r="W29" s="995"/>
      <c r="X29" s="996"/>
      <c r="Y29" s="1022" t="s">
        <v>357</v>
      </c>
      <c r="Z29" s="1023"/>
      <c r="AA29" s="998">
        <v>18.5</v>
      </c>
      <c r="AB29" s="1024">
        <v>70</v>
      </c>
      <c r="AC29" s="1012"/>
    </row>
    <row r="30" spans="3:34" ht="15" customHeight="1" x14ac:dyDescent="0.2">
      <c r="C30" s="994"/>
      <c r="D30" s="995" t="s">
        <v>319</v>
      </c>
      <c r="E30" s="995">
        <v>19</v>
      </c>
      <c r="F30" s="995" t="s">
        <v>735</v>
      </c>
      <c r="G30" s="996"/>
      <c r="H30" s="997" t="s">
        <v>452</v>
      </c>
      <c r="I30" s="998" t="s">
        <v>115</v>
      </c>
      <c r="J30" s="999"/>
      <c r="K30" s="995"/>
      <c r="L30" s="995"/>
      <c r="M30" s="996"/>
      <c r="N30" s="995"/>
      <c r="O30" s="995"/>
      <c r="P30" s="995"/>
      <c r="Q30" s="996"/>
      <c r="R30" s="983" t="s">
        <v>345</v>
      </c>
      <c r="S30" s="983"/>
      <c r="T30" s="995"/>
      <c r="U30" s="996"/>
      <c r="V30" s="995"/>
      <c r="W30" s="995"/>
      <c r="X30" s="1025"/>
      <c r="Y30" s="1022" t="s">
        <v>358</v>
      </c>
      <c r="Z30" s="1023"/>
      <c r="AA30" s="998">
        <v>18.5</v>
      </c>
      <c r="AB30" s="1024">
        <v>70</v>
      </c>
      <c r="AC30" s="1012"/>
    </row>
    <row r="31" spans="3:34" ht="15" customHeight="1" x14ac:dyDescent="0.2">
      <c r="C31" s="994"/>
      <c r="D31" s="995" t="s">
        <v>320</v>
      </c>
      <c r="E31" s="995">
        <v>19</v>
      </c>
      <c r="F31" s="995" t="s">
        <v>735</v>
      </c>
      <c r="G31" s="996"/>
      <c r="H31" s="997" t="s">
        <v>453</v>
      </c>
      <c r="I31" s="998" t="s">
        <v>115</v>
      </c>
      <c r="J31" s="999"/>
      <c r="K31" s="995"/>
      <c r="L31" s="995"/>
      <c r="M31" s="996"/>
      <c r="N31" s="995"/>
      <c r="O31" s="995"/>
      <c r="P31" s="995"/>
      <c r="Q31" s="996"/>
      <c r="R31" s="995" t="s">
        <v>346</v>
      </c>
      <c r="S31" s="995">
        <v>4</v>
      </c>
      <c r="T31" s="995"/>
      <c r="U31" s="996"/>
      <c r="V31" s="995"/>
      <c r="W31" s="995"/>
      <c r="X31" s="1025"/>
      <c r="Y31" s="1022" t="s">
        <v>359</v>
      </c>
      <c r="Z31" s="1023"/>
      <c r="AA31" s="998">
        <v>18.5</v>
      </c>
      <c r="AB31" s="1024">
        <v>70</v>
      </c>
      <c r="AC31" s="1012"/>
    </row>
    <row r="32" spans="3:34" ht="15" customHeight="1" x14ac:dyDescent="0.2">
      <c r="C32" s="994"/>
      <c r="D32" s="995" t="s">
        <v>321</v>
      </c>
      <c r="E32" s="995">
        <v>19</v>
      </c>
      <c r="F32" s="995" t="s">
        <v>735</v>
      </c>
      <c r="G32" s="996"/>
      <c r="H32" s="997" t="s">
        <v>100</v>
      </c>
      <c r="I32" s="998" t="s">
        <v>115</v>
      </c>
      <c r="J32" s="999"/>
      <c r="K32" s="995"/>
      <c r="L32" s="995"/>
      <c r="M32" s="996"/>
      <c r="N32" s="995"/>
      <c r="O32" s="995"/>
      <c r="P32" s="995"/>
      <c r="Q32" s="996"/>
      <c r="R32" s="995" t="s">
        <v>425</v>
      </c>
      <c r="S32" s="995">
        <v>2</v>
      </c>
      <c r="T32" s="995"/>
      <c r="U32" s="996"/>
      <c r="V32" s="995"/>
      <c r="W32" s="995"/>
      <c r="X32" s="1025"/>
      <c r="Y32" s="1022" t="s">
        <v>360</v>
      </c>
      <c r="Z32" s="1023"/>
      <c r="AA32" s="998">
        <v>18.5</v>
      </c>
      <c r="AB32" s="1024">
        <v>70</v>
      </c>
      <c r="AC32" s="1012"/>
    </row>
    <row r="33" spans="3:29" ht="15" customHeight="1" x14ac:dyDescent="0.2">
      <c r="C33" s="994"/>
      <c r="D33" s="995" t="s">
        <v>283</v>
      </c>
      <c r="E33" s="995">
        <v>28</v>
      </c>
      <c r="F33" s="995" t="s">
        <v>171</v>
      </c>
      <c r="G33" s="996"/>
      <c r="H33" s="997" t="s">
        <v>101</v>
      </c>
      <c r="I33" s="998" t="s">
        <v>115</v>
      </c>
      <c r="J33" s="999"/>
      <c r="K33" s="995"/>
      <c r="L33" s="995"/>
      <c r="M33" s="996"/>
      <c r="N33" s="995"/>
      <c r="O33" s="995"/>
      <c r="P33" s="995"/>
      <c r="Q33" s="996"/>
      <c r="R33" s="995" t="s">
        <v>347</v>
      </c>
      <c r="S33" s="995">
        <v>6</v>
      </c>
      <c r="T33" s="995"/>
      <c r="U33" s="996"/>
      <c r="V33" s="995"/>
      <c r="W33" s="995"/>
      <c r="X33" s="1025"/>
      <c r="Y33" s="1022" t="s">
        <v>361</v>
      </c>
      <c r="Z33" s="1023"/>
      <c r="AA33" s="998">
        <v>18.5</v>
      </c>
      <c r="AB33" s="1024">
        <v>70</v>
      </c>
      <c r="AC33" s="1012"/>
    </row>
    <row r="34" spans="3:29" ht="15" customHeight="1" x14ac:dyDescent="0.2">
      <c r="C34" s="994"/>
      <c r="D34" s="995" t="s">
        <v>658</v>
      </c>
      <c r="E34" s="995">
        <v>28</v>
      </c>
      <c r="F34" s="995" t="s">
        <v>170</v>
      </c>
      <c r="G34" s="996"/>
      <c r="H34" s="997" t="s">
        <v>102</v>
      </c>
      <c r="I34" s="998" t="s">
        <v>115</v>
      </c>
      <c r="J34" s="999"/>
      <c r="K34" s="995"/>
      <c r="L34" s="995"/>
      <c r="M34" s="996"/>
      <c r="N34" s="995"/>
      <c r="O34" s="995"/>
      <c r="P34" s="995"/>
      <c r="Q34" s="996"/>
      <c r="R34" s="995" t="s">
        <v>348</v>
      </c>
      <c r="S34" s="995">
        <v>6</v>
      </c>
      <c r="T34" s="995"/>
      <c r="U34" s="996"/>
      <c r="V34" s="995"/>
      <c r="W34" s="995"/>
      <c r="X34" s="1025"/>
      <c r="Y34" s="1022" t="s">
        <v>362</v>
      </c>
      <c r="Z34" s="1023"/>
      <c r="AA34" s="998">
        <v>18.5</v>
      </c>
      <c r="AB34" s="1024">
        <v>70</v>
      </c>
      <c r="AC34" s="1012"/>
    </row>
    <row r="35" spans="3:29" ht="15" customHeight="1" x14ac:dyDescent="0.2">
      <c r="C35" s="994"/>
      <c r="D35" s="995" t="s">
        <v>659</v>
      </c>
      <c r="E35" s="995">
        <v>28</v>
      </c>
      <c r="F35" s="995" t="s">
        <v>170</v>
      </c>
      <c r="G35" s="996"/>
      <c r="H35" s="1026" t="s">
        <v>455</v>
      </c>
      <c r="I35" s="998" t="s">
        <v>115</v>
      </c>
      <c r="J35" s="999"/>
      <c r="K35" s="995"/>
      <c r="L35" s="995"/>
      <c r="M35" s="996"/>
      <c r="N35" s="995"/>
      <c r="O35" s="995"/>
      <c r="P35" s="995"/>
      <c r="Q35" s="996"/>
      <c r="R35" s="995" t="s">
        <v>349</v>
      </c>
      <c r="S35" s="995">
        <v>8</v>
      </c>
      <c r="T35" s="995"/>
      <c r="U35" s="996"/>
      <c r="V35" s="995"/>
      <c r="W35" s="995"/>
      <c r="X35" s="1025"/>
      <c r="Y35" s="1022" t="s">
        <v>363</v>
      </c>
      <c r="Z35" s="1023"/>
      <c r="AA35" s="998">
        <v>18.5</v>
      </c>
      <c r="AB35" s="1024">
        <v>70</v>
      </c>
      <c r="AC35" s="1012"/>
    </row>
    <row r="36" spans="3:29" ht="15" customHeight="1" x14ac:dyDescent="0.2">
      <c r="C36" s="994"/>
      <c r="D36" s="995" t="s">
        <v>466</v>
      </c>
      <c r="E36" s="995">
        <v>28</v>
      </c>
      <c r="F36" s="995" t="s">
        <v>170</v>
      </c>
      <c r="G36" s="996"/>
      <c r="H36" s="1026" t="s">
        <v>103</v>
      </c>
      <c r="I36" s="998" t="s">
        <v>115</v>
      </c>
      <c r="J36" s="999"/>
      <c r="K36" s="995"/>
      <c r="L36" s="995"/>
      <c r="M36" s="996"/>
      <c r="N36" s="995"/>
      <c r="O36" s="995"/>
      <c r="P36" s="995"/>
      <c r="Q36" s="996"/>
      <c r="R36" s="995" t="s">
        <v>350</v>
      </c>
      <c r="S36" s="995">
        <v>8</v>
      </c>
      <c r="T36" s="995"/>
      <c r="U36" s="996"/>
      <c r="V36" s="995"/>
      <c r="W36" s="995"/>
      <c r="X36" s="1025"/>
      <c r="Y36" s="1022" t="s">
        <v>364</v>
      </c>
      <c r="Z36" s="1023"/>
      <c r="AA36" s="998">
        <v>18.5</v>
      </c>
      <c r="AB36" s="1024">
        <v>70</v>
      </c>
      <c r="AC36" s="1012"/>
    </row>
    <row r="37" spans="3:29" ht="15" customHeight="1" x14ac:dyDescent="0.2">
      <c r="D37" s="995" t="s">
        <v>281</v>
      </c>
      <c r="E37" s="995">
        <v>28</v>
      </c>
      <c r="F37" s="995" t="s">
        <v>170</v>
      </c>
      <c r="G37" s="996"/>
      <c r="H37" s="997" t="s">
        <v>104</v>
      </c>
      <c r="I37" s="998" t="s">
        <v>115</v>
      </c>
      <c r="J37" s="999"/>
      <c r="K37" s="995"/>
      <c r="L37" s="995"/>
      <c r="M37" s="996"/>
      <c r="N37" s="995"/>
      <c r="O37" s="995"/>
      <c r="P37" s="995"/>
      <c r="Q37" s="996"/>
      <c r="R37" s="995"/>
      <c r="S37" s="995"/>
      <c r="T37" s="995"/>
      <c r="U37" s="996"/>
      <c r="V37" s="995"/>
      <c r="W37" s="995"/>
      <c r="X37" s="1025"/>
      <c r="Y37" s="1022" t="s">
        <v>365</v>
      </c>
      <c r="Z37" s="1023"/>
      <c r="AA37" s="998">
        <v>18.5</v>
      </c>
      <c r="AB37" s="1024">
        <v>70</v>
      </c>
      <c r="AC37" s="1012"/>
    </row>
    <row r="38" spans="3:29" ht="15" customHeight="1" x14ac:dyDescent="0.2">
      <c r="D38" s="995" t="s">
        <v>837</v>
      </c>
      <c r="E38" s="995">
        <v>28</v>
      </c>
      <c r="F38" s="141" t="s">
        <v>171</v>
      </c>
      <c r="G38" s="996"/>
      <c r="H38" s="997" t="s">
        <v>105</v>
      </c>
      <c r="I38" s="998" t="s">
        <v>115</v>
      </c>
      <c r="J38" s="999"/>
      <c r="K38" s="995"/>
      <c r="L38" s="995"/>
      <c r="M38" s="996"/>
      <c r="N38" s="995"/>
      <c r="O38" s="995"/>
      <c r="P38" s="995"/>
      <c r="Q38" s="996"/>
      <c r="R38" s="995"/>
      <c r="S38" s="995"/>
      <c r="T38" s="995"/>
      <c r="U38" s="996"/>
      <c r="V38" s="995"/>
      <c r="W38" s="995"/>
      <c r="X38" s="996"/>
      <c r="Y38" s="1022" t="s">
        <v>366</v>
      </c>
      <c r="Z38" s="1023"/>
      <c r="AA38" s="998">
        <v>18.5</v>
      </c>
      <c r="AB38" s="1024">
        <v>70</v>
      </c>
      <c r="AC38" s="1012"/>
    </row>
    <row r="39" spans="3:29" ht="15" customHeight="1" x14ac:dyDescent="0.2">
      <c r="D39" s="995" t="s">
        <v>840</v>
      </c>
      <c r="E39" s="995">
        <v>28</v>
      </c>
      <c r="F39" s="995" t="s">
        <v>170</v>
      </c>
      <c r="G39" s="996"/>
      <c r="H39" s="997" t="s">
        <v>106</v>
      </c>
      <c r="I39" s="998" t="s">
        <v>115</v>
      </c>
      <c r="J39" s="999"/>
      <c r="K39" s="995"/>
      <c r="L39" s="995"/>
      <c r="M39" s="996"/>
      <c r="N39" s="995"/>
      <c r="O39" s="995"/>
      <c r="P39" s="995"/>
      <c r="Q39" s="996"/>
      <c r="R39" s="995"/>
      <c r="S39" s="995"/>
      <c r="T39" s="995"/>
      <c r="U39" s="996"/>
      <c r="V39" s="995"/>
      <c r="W39" s="995"/>
      <c r="X39" s="996"/>
      <c r="Y39" s="1022" t="s">
        <v>367</v>
      </c>
      <c r="Z39" s="1023"/>
      <c r="AA39" s="998">
        <v>18.5</v>
      </c>
      <c r="AB39" s="1024">
        <v>70</v>
      </c>
      <c r="AC39" s="1012"/>
    </row>
    <row r="40" spans="3:29" ht="15" customHeight="1" x14ac:dyDescent="0.2">
      <c r="D40" s="995" t="s">
        <v>842</v>
      </c>
      <c r="E40" s="995">
        <v>28</v>
      </c>
      <c r="F40" s="995" t="s">
        <v>170</v>
      </c>
      <c r="G40" s="996"/>
      <c r="H40" s="997" t="s">
        <v>107</v>
      </c>
      <c r="I40" s="998" t="s">
        <v>115</v>
      </c>
      <c r="J40" s="999"/>
      <c r="K40" s="995"/>
      <c r="L40" s="995"/>
      <c r="M40" s="996"/>
      <c r="N40" s="995"/>
      <c r="O40" s="995"/>
      <c r="P40" s="995"/>
      <c r="Q40" s="996"/>
      <c r="R40" s="995"/>
      <c r="S40" s="995"/>
      <c r="T40" s="995"/>
      <c r="U40" s="996"/>
      <c r="V40" s="995"/>
      <c r="W40" s="995"/>
      <c r="X40" s="996"/>
      <c r="Y40" s="1027" t="s">
        <v>368</v>
      </c>
      <c r="Z40" s="1028"/>
      <c r="AA40" s="1029">
        <v>18.5</v>
      </c>
      <c r="AB40" s="1030">
        <v>70</v>
      </c>
      <c r="AC40" s="1012"/>
    </row>
    <row r="41" spans="3:29" ht="15" customHeight="1" x14ac:dyDescent="0.2">
      <c r="D41" s="995" t="s">
        <v>282</v>
      </c>
      <c r="E41" s="995">
        <v>28</v>
      </c>
      <c r="F41" s="141" t="s">
        <v>171</v>
      </c>
      <c r="G41" s="996"/>
      <c r="H41" s="997" t="s">
        <v>108</v>
      </c>
      <c r="I41" s="998" t="s">
        <v>115</v>
      </c>
      <c r="J41" s="999"/>
      <c r="K41" s="995"/>
      <c r="L41" s="995"/>
      <c r="M41" s="996"/>
      <c r="N41" s="995"/>
      <c r="O41" s="995"/>
      <c r="P41" s="995"/>
      <c r="Q41" s="996"/>
      <c r="R41" s="995"/>
      <c r="S41" s="995"/>
      <c r="T41" s="995"/>
      <c r="U41" s="996"/>
      <c r="V41" s="995"/>
      <c r="W41" s="995"/>
      <c r="X41" s="996"/>
      <c r="Y41" s="1027" t="s">
        <v>369</v>
      </c>
      <c r="Z41" s="1028"/>
      <c r="AA41" s="1029">
        <v>18.5</v>
      </c>
      <c r="AB41" s="1030">
        <v>70</v>
      </c>
      <c r="AC41" s="1012"/>
    </row>
    <row r="42" spans="3:29" x14ac:dyDescent="0.2">
      <c r="D42" s="995" t="s">
        <v>656</v>
      </c>
      <c r="E42" s="995">
        <v>28</v>
      </c>
      <c r="F42" s="995" t="s">
        <v>170</v>
      </c>
      <c r="G42" s="996"/>
      <c r="H42" s="997" t="s">
        <v>109</v>
      </c>
      <c r="I42" s="998" t="s">
        <v>115</v>
      </c>
      <c r="J42" s="999"/>
      <c r="K42" s="995"/>
      <c r="L42" s="995"/>
      <c r="M42" s="996"/>
      <c r="N42" s="995"/>
      <c r="O42" s="995"/>
      <c r="P42" s="995"/>
      <c r="Q42" s="996"/>
      <c r="R42" s="995"/>
      <c r="S42" s="995"/>
      <c r="T42" s="995"/>
      <c r="U42" s="996"/>
      <c r="V42" s="995"/>
      <c r="W42" s="995"/>
      <c r="X42" s="996"/>
      <c r="Y42" s="1012" t="s">
        <v>178</v>
      </c>
      <c r="Z42" s="1031">
        <v>0</v>
      </c>
      <c r="AA42" s="1031">
        <v>0</v>
      </c>
      <c r="AB42" s="1032"/>
      <c r="AC42" s="1012"/>
    </row>
    <row r="43" spans="3:29" x14ac:dyDescent="0.2">
      <c r="D43" s="995" t="s">
        <v>657</v>
      </c>
      <c r="E43" s="995">
        <v>28</v>
      </c>
      <c r="F43" s="995" t="s">
        <v>170</v>
      </c>
      <c r="G43" s="996"/>
      <c r="H43" s="997" t="s">
        <v>456</v>
      </c>
      <c r="I43" s="998" t="s">
        <v>115</v>
      </c>
      <c r="J43" s="999"/>
      <c r="K43" s="995"/>
      <c r="L43" s="995"/>
      <c r="M43" s="996"/>
      <c r="N43" s="995"/>
      <c r="O43" s="995"/>
      <c r="P43" s="995"/>
      <c r="Q43" s="996"/>
      <c r="R43" s="995"/>
      <c r="S43" s="995"/>
      <c r="T43" s="995"/>
      <c r="U43" s="996"/>
      <c r="V43" s="995"/>
      <c r="W43" s="995"/>
      <c r="X43" s="996"/>
      <c r="Y43" s="1012" t="s">
        <v>528</v>
      </c>
      <c r="Z43" s="1033">
        <v>14</v>
      </c>
      <c r="AA43" s="1033">
        <v>14</v>
      </c>
      <c r="AB43" s="995"/>
      <c r="AC43" s="1012"/>
    </row>
    <row r="44" spans="3:29" x14ac:dyDescent="0.2">
      <c r="D44" s="995" t="s">
        <v>741</v>
      </c>
      <c r="E44" s="995">
        <v>34</v>
      </c>
      <c r="F44" s="141" t="s">
        <v>171</v>
      </c>
      <c r="G44" s="996"/>
      <c r="H44" s="997" t="s">
        <v>110</v>
      </c>
      <c r="I44" s="998" t="s">
        <v>115</v>
      </c>
      <c r="J44" s="999"/>
      <c r="K44" s="995"/>
      <c r="L44" s="995"/>
      <c r="M44" s="996"/>
      <c r="N44" s="995"/>
      <c r="O44" s="995"/>
      <c r="P44" s="995"/>
      <c r="Q44" s="996"/>
      <c r="R44" s="995"/>
      <c r="S44" s="995"/>
      <c r="T44" s="995"/>
      <c r="U44" s="996"/>
      <c r="V44" s="995"/>
      <c r="W44" s="995"/>
      <c r="X44" s="996"/>
      <c r="Y44" s="1012" t="s">
        <v>217</v>
      </c>
      <c r="Z44" s="1033">
        <v>16</v>
      </c>
      <c r="AA44" s="1033">
        <v>16</v>
      </c>
      <c r="AB44" s="995"/>
      <c r="AC44" s="1012"/>
    </row>
    <row r="45" spans="3:29" x14ac:dyDescent="0.2">
      <c r="D45" s="995" t="s">
        <v>82</v>
      </c>
      <c r="E45" s="995">
        <v>19</v>
      </c>
      <c r="F45" s="995" t="s">
        <v>169</v>
      </c>
      <c r="G45" s="996"/>
      <c r="H45" s="997" t="s">
        <v>111</v>
      </c>
      <c r="I45" s="998" t="s">
        <v>115</v>
      </c>
      <c r="J45" s="999"/>
      <c r="K45" s="995"/>
      <c r="L45" s="995"/>
      <c r="M45" s="996"/>
      <c r="N45" s="995"/>
      <c r="O45" s="995"/>
      <c r="P45" s="995"/>
      <c r="Q45" s="996"/>
      <c r="R45" s="995"/>
      <c r="S45" s="995"/>
      <c r="T45" s="995"/>
      <c r="U45" s="996"/>
      <c r="V45" s="995"/>
      <c r="W45" s="995"/>
      <c r="X45" s="996"/>
      <c r="Y45" s="1012" t="s">
        <v>179</v>
      </c>
      <c r="Z45" s="1033">
        <v>18.5</v>
      </c>
      <c r="AA45" s="1033">
        <v>18.5</v>
      </c>
      <c r="AB45" s="995"/>
      <c r="AC45" s="1012"/>
    </row>
    <row r="46" spans="3:29" x14ac:dyDescent="0.2">
      <c r="D46" s="995" t="s">
        <v>194</v>
      </c>
      <c r="E46" s="995">
        <v>28</v>
      </c>
      <c r="F46" s="995" t="s">
        <v>169</v>
      </c>
      <c r="G46" s="996"/>
      <c r="H46" s="997" t="s">
        <v>165</v>
      </c>
      <c r="I46" s="998" t="s">
        <v>115</v>
      </c>
      <c r="J46" s="999"/>
      <c r="K46" s="995"/>
      <c r="L46" s="995"/>
      <c r="M46" s="996"/>
      <c r="N46" s="995"/>
      <c r="O46" s="995"/>
      <c r="P46" s="995"/>
      <c r="Q46" s="996"/>
      <c r="R46" s="995"/>
      <c r="S46" s="995"/>
      <c r="T46" s="995"/>
      <c r="U46" s="996"/>
      <c r="V46" s="995"/>
      <c r="W46" s="995"/>
      <c r="X46" s="996"/>
      <c r="Y46" s="1012" t="s">
        <v>180</v>
      </c>
      <c r="Z46" s="1033">
        <v>22</v>
      </c>
      <c r="AA46" s="1033">
        <v>22</v>
      </c>
      <c r="AB46" s="995"/>
      <c r="AC46" s="1012"/>
    </row>
    <row r="47" spans="3:29" x14ac:dyDescent="0.2">
      <c r="D47" s="995" t="s">
        <v>81</v>
      </c>
      <c r="E47" s="995">
        <v>9</v>
      </c>
      <c r="F47" s="995" t="s">
        <v>169</v>
      </c>
      <c r="G47" s="996"/>
      <c r="H47" s="997" t="s">
        <v>166</v>
      </c>
      <c r="I47" s="998" t="s">
        <v>115</v>
      </c>
      <c r="J47" s="999"/>
      <c r="K47" s="995"/>
      <c r="L47" s="995"/>
      <c r="M47" s="996"/>
      <c r="N47" s="995"/>
      <c r="O47" s="995"/>
      <c r="P47" s="995"/>
      <c r="Q47" s="996"/>
      <c r="R47" s="995"/>
      <c r="S47" s="995"/>
      <c r="T47" s="995"/>
      <c r="U47" s="996"/>
      <c r="V47" s="995"/>
      <c r="W47" s="995"/>
      <c r="X47" s="996"/>
      <c r="Y47" s="1012" t="s">
        <v>181</v>
      </c>
      <c r="Z47" s="1033">
        <v>26</v>
      </c>
      <c r="AA47" s="1033">
        <v>26</v>
      </c>
      <c r="AB47" s="995"/>
      <c r="AC47" s="1012"/>
    </row>
    <row r="48" spans="3:29" ht="12.75" thickBot="1" x14ac:dyDescent="0.25">
      <c r="D48" s="995"/>
      <c r="E48" s="995"/>
      <c r="F48" s="996"/>
      <c r="G48" s="996"/>
      <c r="H48" s="997" t="s">
        <v>167</v>
      </c>
      <c r="I48" s="998" t="s">
        <v>115</v>
      </c>
      <c r="J48" s="999"/>
      <c r="K48" s="995"/>
      <c r="L48" s="995"/>
      <c r="M48" s="996"/>
      <c r="N48" s="995"/>
      <c r="O48" s="995"/>
      <c r="P48" s="995"/>
      <c r="Q48" s="996"/>
      <c r="R48" s="995"/>
      <c r="S48" s="995"/>
      <c r="T48" s="995"/>
      <c r="U48" s="996"/>
      <c r="V48" s="995"/>
      <c r="W48" s="995"/>
      <c r="X48" s="996"/>
      <c r="Y48" s="140" t="s">
        <v>296</v>
      </c>
      <c r="Z48" s="140">
        <v>0</v>
      </c>
      <c r="AA48" s="140">
        <v>0</v>
      </c>
      <c r="AB48" s="995"/>
      <c r="AC48" s="1012"/>
    </row>
    <row r="49" spans="4:29" x14ac:dyDescent="0.2">
      <c r="D49" s="983" t="s">
        <v>266</v>
      </c>
      <c r="E49" s="995"/>
      <c r="F49" s="996"/>
      <c r="G49" s="996"/>
      <c r="H49" s="997" t="s">
        <v>428</v>
      </c>
      <c r="I49" s="998" t="s">
        <v>115</v>
      </c>
      <c r="J49" s="999"/>
      <c r="K49" s="995"/>
      <c r="L49" s="995"/>
      <c r="M49" s="996"/>
      <c r="N49" s="995"/>
      <c r="O49" s="995"/>
      <c r="P49" s="995"/>
      <c r="Q49" s="996"/>
      <c r="R49" s="995"/>
      <c r="S49" s="995"/>
      <c r="T49" s="995"/>
      <c r="U49" s="996"/>
      <c r="V49" s="995"/>
      <c r="W49" s="995"/>
      <c r="X49" s="996"/>
      <c r="Y49" s="1012"/>
      <c r="Z49" s="998"/>
      <c r="AA49" s="998"/>
      <c r="AB49" s="995"/>
      <c r="AC49" s="1012"/>
    </row>
    <row r="50" spans="4:29" x14ac:dyDescent="0.2">
      <c r="D50" s="995" t="s">
        <v>832</v>
      </c>
      <c r="E50" s="995"/>
      <c r="F50" s="996"/>
      <c r="G50" s="996"/>
      <c r="H50" s="1034" t="s">
        <v>374</v>
      </c>
      <c r="I50" s="998" t="s">
        <v>115</v>
      </c>
      <c r="J50" s="999"/>
      <c r="K50" s="995"/>
      <c r="L50" s="995"/>
      <c r="M50" s="996"/>
      <c r="N50" s="995"/>
      <c r="O50" s="995"/>
      <c r="P50" s="995"/>
      <c r="Q50" s="996"/>
      <c r="R50" s="995"/>
      <c r="S50" s="995"/>
      <c r="T50" s="995"/>
      <c r="U50" s="996"/>
      <c r="V50" s="995"/>
      <c r="W50" s="995"/>
      <c r="X50" s="996"/>
      <c r="Y50" s="1012"/>
      <c r="Z50" s="998"/>
      <c r="AA50" s="998"/>
      <c r="AB50" s="995"/>
      <c r="AC50" s="1012"/>
    </row>
    <row r="51" spans="4:29" x14ac:dyDescent="0.2">
      <c r="D51" s="995" t="s">
        <v>839</v>
      </c>
      <c r="E51" s="995"/>
      <c r="F51" s="996"/>
      <c r="G51" s="996"/>
      <c r="H51" s="978" t="s">
        <v>454</v>
      </c>
      <c r="I51" s="998" t="s">
        <v>115</v>
      </c>
      <c r="J51" s="999"/>
      <c r="K51" s="995"/>
      <c r="L51" s="995"/>
      <c r="M51" s="996"/>
      <c r="N51" s="995"/>
      <c r="O51" s="995"/>
      <c r="P51" s="995"/>
      <c r="Q51" s="996"/>
      <c r="R51" s="995"/>
      <c r="S51" s="995"/>
      <c r="T51" s="995"/>
      <c r="U51" s="996"/>
      <c r="V51" s="995"/>
      <c r="W51" s="995"/>
      <c r="X51" s="996"/>
      <c r="Y51" s="1012"/>
      <c r="Z51" s="998"/>
      <c r="AA51" s="998"/>
      <c r="AB51" s="995"/>
      <c r="AC51" s="1012"/>
    </row>
    <row r="52" spans="4:29" x14ac:dyDescent="0.2">
      <c r="D52" s="995" t="s">
        <v>845</v>
      </c>
      <c r="E52" s="995"/>
      <c r="F52" s="996"/>
      <c r="G52" s="996"/>
      <c r="H52" s="1006" t="s">
        <v>488</v>
      </c>
      <c r="I52" s="995" t="s">
        <v>115</v>
      </c>
      <c r="J52" s="999"/>
      <c r="K52" s="995"/>
      <c r="L52" s="995"/>
      <c r="M52" s="996"/>
      <c r="N52" s="995"/>
      <c r="O52" s="995"/>
      <c r="P52" s="995"/>
      <c r="Q52" s="996"/>
      <c r="R52" s="995"/>
      <c r="S52" s="995"/>
      <c r="T52" s="995"/>
      <c r="U52" s="996"/>
      <c r="V52" s="995"/>
      <c r="W52" s="995"/>
      <c r="X52" s="996"/>
      <c r="Y52" s="1012"/>
      <c r="Z52" s="998"/>
      <c r="AA52" s="998"/>
      <c r="AB52" s="995"/>
      <c r="AC52" s="1012"/>
    </row>
    <row r="53" spans="4:29" x14ac:dyDescent="0.2">
      <c r="D53" s="995" t="s">
        <v>50</v>
      </c>
      <c r="E53" s="995"/>
      <c r="F53" s="996"/>
      <c r="G53" s="996"/>
      <c r="H53" s="1006" t="s">
        <v>490</v>
      </c>
      <c r="I53" s="995" t="s">
        <v>115</v>
      </c>
      <c r="J53" s="999"/>
      <c r="K53" s="995"/>
      <c r="L53" s="995"/>
      <c r="M53" s="996"/>
      <c r="N53" s="995"/>
      <c r="O53" s="995"/>
      <c r="P53" s="995"/>
      <c r="Q53" s="996"/>
      <c r="R53" s="995"/>
      <c r="S53" s="995"/>
      <c r="T53" s="995"/>
      <c r="U53" s="996"/>
      <c r="V53" s="995"/>
      <c r="W53" s="995"/>
      <c r="X53" s="996"/>
      <c r="Y53" s="1012"/>
      <c r="Z53" s="998"/>
      <c r="AA53" s="998"/>
      <c r="AB53" s="995"/>
      <c r="AC53" s="1012"/>
    </row>
    <row r="54" spans="4:29" x14ac:dyDescent="0.2">
      <c r="D54" s="995" t="s">
        <v>300</v>
      </c>
      <c r="E54" s="995"/>
      <c r="F54" s="996"/>
      <c r="G54" s="996"/>
      <c r="H54" s="1006"/>
      <c r="I54" s="995"/>
      <c r="J54" s="999"/>
      <c r="K54" s="995"/>
      <c r="L54" s="995"/>
      <c r="M54" s="996"/>
      <c r="N54" s="995"/>
      <c r="O54" s="995"/>
      <c r="P54" s="995"/>
      <c r="Q54" s="996"/>
      <c r="R54" s="995"/>
      <c r="S54" s="995"/>
      <c r="T54" s="995"/>
      <c r="U54" s="996"/>
      <c r="V54" s="995"/>
      <c r="W54" s="995"/>
      <c r="X54" s="996"/>
      <c r="Y54" s="1012"/>
      <c r="Z54" s="1012"/>
      <c r="AA54" s="1012"/>
      <c r="AB54" s="995"/>
      <c r="AC54" s="1012"/>
    </row>
    <row r="55" spans="4:29" x14ac:dyDescent="0.2">
      <c r="D55" s="995" t="s">
        <v>729</v>
      </c>
      <c r="E55" s="995"/>
      <c r="F55" s="996"/>
      <c r="G55" s="996"/>
      <c r="H55" s="1006"/>
      <c r="I55" s="995"/>
      <c r="J55" s="999"/>
      <c r="K55" s="995"/>
      <c r="L55" s="995"/>
      <c r="M55" s="996"/>
      <c r="N55" s="995"/>
      <c r="O55" s="995"/>
      <c r="P55" s="995"/>
      <c r="Q55" s="996"/>
      <c r="R55" s="995"/>
      <c r="S55" s="995"/>
      <c r="T55" s="995"/>
      <c r="U55" s="996"/>
      <c r="V55" s="995"/>
      <c r="W55" s="995"/>
      <c r="X55" s="996"/>
      <c r="Y55" s="1012"/>
      <c r="Z55" s="1012"/>
      <c r="AA55" s="1012"/>
      <c r="AB55" s="995"/>
      <c r="AC55" s="1012"/>
    </row>
    <row r="56" spans="4:29" x14ac:dyDescent="0.2">
      <c r="D56" s="995" t="s">
        <v>837</v>
      </c>
      <c r="E56" s="995"/>
      <c r="F56" s="996"/>
      <c r="G56" s="996"/>
      <c r="H56" s="1035"/>
      <c r="J56" s="996"/>
      <c r="K56" s="995"/>
      <c r="L56" s="995"/>
      <c r="M56" s="996"/>
      <c r="N56" s="995"/>
      <c r="O56" s="995"/>
      <c r="P56" s="995"/>
      <c r="Q56" s="996"/>
      <c r="R56" s="995"/>
      <c r="S56" s="995"/>
      <c r="U56" s="996"/>
      <c r="V56" s="995"/>
      <c r="W56" s="995"/>
      <c r="X56" s="996"/>
      <c r="Y56" s="1012"/>
      <c r="Z56" s="1012"/>
      <c r="AA56" s="1012"/>
      <c r="AB56" s="995"/>
      <c r="AC56" s="1012"/>
    </row>
    <row r="57" spans="4:29" x14ac:dyDescent="0.2">
      <c r="D57" s="995" t="s">
        <v>840</v>
      </c>
      <c r="E57" s="995"/>
      <c r="F57" s="996"/>
      <c r="G57" s="996"/>
      <c r="J57" s="996"/>
      <c r="K57" s="995"/>
      <c r="L57" s="995"/>
      <c r="M57" s="996"/>
      <c r="N57" s="995"/>
      <c r="O57" s="995"/>
      <c r="P57" s="995"/>
      <c r="Q57" s="996"/>
      <c r="R57" s="995"/>
      <c r="S57" s="995"/>
      <c r="U57" s="996"/>
      <c r="V57" s="995"/>
      <c r="W57" s="995"/>
      <c r="X57" s="996"/>
      <c r="Y57" s="1012"/>
      <c r="Z57" s="1012"/>
      <c r="AA57" s="1012"/>
      <c r="AB57" s="995"/>
      <c r="AC57" s="1012"/>
    </row>
    <row r="58" spans="4:29" x14ac:dyDescent="0.2">
      <c r="D58" s="995" t="s">
        <v>842</v>
      </c>
      <c r="E58" s="995"/>
      <c r="F58" s="996"/>
      <c r="G58" s="996"/>
      <c r="J58" s="996"/>
      <c r="K58" s="995"/>
      <c r="L58" s="995"/>
      <c r="M58" s="996"/>
      <c r="N58" s="995"/>
      <c r="O58" s="995"/>
      <c r="P58" s="995"/>
      <c r="Q58" s="996"/>
      <c r="R58" s="995"/>
      <c r="S58" s="995"/>
      <c r="U58" s="996"/>
      <c r="V58" s="995"/>
      <c r="W58" s="995"/>
      <c r="X58" s="996"/>
      <c r="Y58" s="1012"/>
      <c r="Z58" s="1012"/>
      <c r="AA58" s="1012"/>
      <c r="AB58" s="995"/>
      <c r="AC58" s="1012"/>
    </row>
    <row r="59" spans="4:29" x14ac:dyDescent="0.2">
      <c r="D59" s="995" t="s">
        <v>282</v>
      </c>
      <c r="E59" s="995"/>
      <c r="F59" s="996"/>
      <c r="N59" s="995"/>
      <c r="O59" s="995"/>
      <c r="P59" s="995"/>
      <c r="R59" s="995"/>
      <c r="S59" s="995"/>
      <c r="V59" s="995"/>
      <c r="W59" s="995"/>
      <c r="Y59" s="1012"/>
      <c r="Z59" s="1012"/>
      <c r="AA59" s="1012"/>
      <c r="AB59" s="995"/>
      <c r="AC59" s="1012"/>
    </row>
    <row r="60" spans="4:29" x14ac:dyDescent="0.2">
      <c r="D60" s="995" t="s">
        <v>656</v>
      </c>
      <c r="E60" s="995"/>
      <c r="F60" s="996"/>
      <c r="N60" s="995"/>
      <c r="O60" s="995"/>
      <c r="P60" s="995"/>
      <c r="R60" s="995"/>
      <c r="S60" s="995"/>
      <c r="V60" s="995"/>
      <c r="W60" s="995"/>
      <c r="Y60" s="1012"/>
      <c r="Z60" s="1012"/>
      <c r="AA60" s="1012"/>
      <c r="AB60" s="995"/>
      <c r="AC60" s="1012"/>
    </row>
    <row r="61" spans="4:29" x14ac:dyDescent="0.2">
      <c r="D61" s="995" t="s">
        <v>657</v>
      </c>
      <c r="E61" s="995"/>
      <c r="F61" s="996"/>
      <c r="N61" s="995"/>
      <c r="O61" s="995"/>
      <c r="P61" s="995"/>
      <c r="R61" s="995"/>
      <c r="S61" s="995"/>
      <c r="V61" s="995"/>
      <c r="W61" s="995"/>
      <c r="Y61" s="1012"/>
      <c r="Z61" s="1012"/>
      <c r="AA61" s="1012"/>
      <c r="AB61" s="995"/>
      <c r="AC61" s="1012"/>
    </row>
    <row r="62" spans="4:29" ht="12.75" thickBot="1" x14ac:dyDescent="0.25">
      <c r="D62" s="995"/>
      <c r="E62" s="995"/>
      <c r="F62" s="996"/>
      <c r="N62" s="995"/>
      <c r="O62" s="995"/>
      <c r="P62" s="995"/>
      <c r="R62" s="995"/>
      <c r="S62" s="995"/>
      <c r="V62" s="995"/>
      <c r="W62" s="995"/>
      <c r="AB62" s="995"/>
      <c r="AC62" s="1012"/>
    </row>
    <row r="63" spans="4:29" x14ac:dyDescent="0.2">
      <c r="D63" s="983" t="s">
        <v>299</v>
      </c>
      <c r="E63" s="995"/>
      <c r="F63" s="996"/>
      <c r="N63" s="995"/>
      <c r="O63" s="995"/>
      <c r="P63" s="995"/>
      <c r="R63" s="995"/>
      <c r="S63" s="995"/>
      <c r="V63" s="995"/>
      <c r="W63" s="995"/>
      <c r="Y63" s="995"/>
      <c r="Z63" s="995"/>
      <c r="AA63" s="995"/>
      <c r="AB63" s="995"/>
      <c r="AC63" s="1012"/>
    </row>
    <row r="64" spans="4:29" x14ac:dyDescent="0.2">
      <c r="D64" s="995" t="s">
        <v>434</v>
      </c>
      <c r="E64" s="995"/>
      <c r="F64" s="996"/>
      <c r="N64" s="995"/>
      <c r="O64" s="995"/>
      <c r="P64" s="995"/>
      <c r="V64" s="995"/>
      <c r="W64" s="995"/>
      <c r="Y64" s="995"/>
      <c r="Z64" s="995"/>
      <c r="AA64" s="995"/>
      <c r="AB64" s="995"/>
      <c r="AC64" s="1012"/>
    </row>
    <row r="65" spans="4:29" x14ac:dyDescent="0.2">
      <c r="D65" s="1005" t="s">
        <v>49</v>
      </c>
      <c r="E65" s="995"/>
      <c r="F65" s="996"/>
      <c r="N65" s="995"/>
      <c r="O65" s="995"/>
      <c r="V65" s="995"/>
      <c r="W65" s="995"/>
      <c r="Y65" s="995"/>
      <c r="Z65" s="995"/>
      <c r="AA65" s="995"/>
      <c r="AB65" s="995"/>
      <c r="AC65" s="1012"/>
    </row>
    <row r="66" spans="4:29" x14ac:dyDescent="0.2">
      <c r="D66" s="995" t="s">
        <v>832</v>
      </c>
      <c r="E66" s="995"/>
      <c r="F66" s="996"/>
      <c r="N66" s="995"/>
      <c r="O66" s="995"/>
      <c r="V66" s="995"/>
      <c r="W66" s="995"/>
      <c r="Y66" s="995"/>
      <c r="Z66" s="995"/>
      <c r="AA66" s="995"/>
      <c r="AB66" s="995"/>
      <c r="AC66" s="1012"/>
    </row>
    <row r="67" spans="4:29" x14ac:dyDescent="0.2">
      <c r="D67" s="995" t="s">
        <v>50</v>
      </c>
      <c r="E67" s="995"/>
      <c r="F67" s="996"/>
      <c r="N67" s="995"/>
      <c r="O67" s="995"/>
      <c r="V67" s="995"/>
      <c r="W67" s="995"/>
      <c r="Y67" s="995"/>
      <c r="Z67" s="995"/>
      <c r="AA67" s="995"/>
      <c r="AB67" s="995"/>
      <c r="AC67" s="1012"/>
    </row>
    <row r="68" spans="4:29" x14ac:dyDescent="0.2">
      <c r="D68" s="995" t="s">
        <v>75</v>
      </c>
      <c r="E68" s="995"/>
      <c r="F68" s="996"/>
      <c r="V68" s="995"/>
      <c r="W68" s="995"/>
      <c r="Y68" s="995"/>
      <c r="Z68" s="995"/>
      <c r="AA68" s="995"/>
      <c r="AB68" s="995"/>
    </row>
    <row r="69" spans="4:29" x14ac:dyDescent="0.2">
      <c r="D69" s="995" t="s">
        <v>312</v>
      </c>
      <c r="E69" s="995"/>
      <c r="F69" s="996"/>
      <c r="V69" s="995"/>
      <c r="W69" s="995"/>
      <c r="Y69" s="995"/>
      <c r="Z69" s="995"/>
      <c r="AA69" s="995"/>
      <c r="AB69" s="995"/>
    </row>
    <row r="70" spans="4:29" ht="24" x14ac:dyDescent="0.2">
      <c r="D70" s="995" t="s">
        <v>313</v>
      </c>
      <c r="E70" s="995"/>
      <c r="F70" s="996"/>
      <c r="H70" s="997"/>
      <c r="Y70" s="995"/>
      <c r="Z70" s="995"/>
      <c r="AA70" s="995"/>
      <c r="AB70" s="995"/>
    </row>
    <row r="71" spans="4:29" x14ac:dyDescent="0.2">
      <c r="D71" s="995" t="s">
        <v>833</v>
      </c>
      <c r="E71" s="995"/>
      <c r="F71" s="996"/>
      <c r="Y71" s="995"/>
      <c r="Z71" s="1012"/>
      <c r="AA71" s="1012"/>
    </row>
    <row r="72" spans="4:29" ht="24" x14ac:dyDescent="0.2">
      <c r="D72" s="995" t="s">
        <v>834</v>
      </c>
      <c r="E72" s="995"/>
      <c r="F72" s="996"/>
      <c r="Y72" s="995"/>
      <c r="Z72" s="1012"/>
      <c r="AA72" s="1012"/>
    </row>
    <row r="73" spans="4:29" x14ac:dyDescent="0.2">
      <c r="D73" s="995" t="s">
        <v>322</v>
      </c>
      <c r="Y73" s="995"/>
      <c r="Z73" s="1012"/>
      <c r="AA73" s="1012"/>
    </row>
    <row r="74" spans="4:29" ht="24" x14ac:dyDescent="0.2">
      <c r="D74" s="995" t="s">
        <v>323</v>
      </c>
      <c r="Y74" s="995"/>
      <c r="Z74" s="1012"/>
      <c r="AA74" s="1012"/>
    </row>
    <row r="75" spans="4:29" ht="24" x14ac:dyDescent="0.2">
      <c r="D75" s="995" t="s">
        <v>314</v>
      </c>
      <c r="Y75" s="995"/>
      <c r="Z75" s="1012"/>
      <c r="AA75" s="1012"/>
    </row>
    <row r="76" spans="4:29" ht="24" x14ac:dyDescent="0.2">
      <c r="D76" s="995" t="s">
        <v>315</v>
      </c>
      <c r="Y76" s="995"/>
      <c r="Z76" s="1012"/>
      <c r="AA76" s="1012"/>
    </row>
    <row r="77" spans="4:29" x14ac:dyDescent="0.2">
      <c r="D77" s="995" t="s">
        <v>316</v>
      </c>
      <c r="Y77" s="995"/>
      <c r="Z77" s="1012"/>
      <c r="AA77" s="1012"/>
    </row>
    <row r="78" spans="4:29" ht="24" x14ac:dyDescent="0.2">
      <c r="D78" s="995" t="s">
        <v>317</v>
      </c>
      <c r="Y78" s="995"/>
      <c r="Z78" s="1012"/>
      <c r="AA78" s="1012"/>
    </row>
    <row r="79" spans="4:29" x14ac:dyDescent="0.2">
      <c r="D79" s="995" t="s">
        <v>835</v>
      </c>
      <c r="Y79" s="995"/>
      <c r="Z79" s="1012"/>
      <c r="AA79" s="1012"/>
    </row>
    <row r="80" spans="4:29" ht="24" x14ac:dyDescent="0.2">
      <c r="D80" s="995" t="s">
        <v>836</v>
      </c>
      <c r="Y80" s="995"/>
      <c r="Z80" s="1012"/>
      <c r="AA80" s="1012"/>
    </row>
    <row r="81" spans="4:27" x14ac:dyDescent="0.2">
      <c r="D81" s="995" t="s">
        <v>318</v>
      </c>
      <c r="Y81" s="995"/>
      <c r="Z81" s="1012"/>
      <c r="AA81" s="1012"/>
    </row>
    <row r="82" spans="4:27" ht="24" x14ac:dyDescent="0.2">
      <c r="D82" s="995" t="s">
        <v>319</v>
      </c>
      <c r="Y82" s="995"/>
      <c r="Z82" s="1012"/>
      <c r="AA82" s="1012"/>
    </row>
    <row r="83" spans="4:27" x14ac:dyDescent="0.2">
      <c r="D83" s="995" t="s">
        <v>320</v>
      </c>
      <c r="Y83" s="995"/>
      <c r="Z83" s="1012"/>
      <c r="AA83" s="1012"/>
    </row>
    <row r="84" spans="4:27" ht="24" x14ac:dyDescent="0.2">
      <c r="D84" s="995" t="s">
        <v>321</v>
      </c>
      <c r="Y84" s="995"/>
      <c r="Z84" s="1012"/>
      <c r="AA84" s="1012"/>
    </row>
    <row r="85" spans="4:27" x14ac:dyDescent="0.2">
      <c r="D85" s="995" t="s">
        <v>742</v>
      </c>
      <c r="Y85" s="995"/>
      <c r="Z85" s="1012"/>
      <c r="AA85" s="1012"/>
    </row>
    <row r="86" spans="4:27" x14ac:dyDescent="0.2">
      <c r="D86" s="995" t="s">
        <v>82</v>
      </c>
      <c r="Y86" s="995"/>
      <c r="Z86" s="1012"/>
      <c r="AA86" s="1012"/>
    </row>
    <row r="87" spans="4:27" x14ac:dyDescent="0.2">
      <c r="D87" s="995" t="s">
        <v>194</v>
      </c>
      <c r="Y87" s="995"/>
      <c r="Z87" s="1012"/>
      <c r="AA87" s="1012"/>
    </row>
    <row r="88" spans="4:27" x14ac:dyDescent="0.2">
      <c r="D88" s="995" t="s">
        <v>81</v>
      </c>
      <c r="Y88" s="995"/>
      <c r="Z88" s="1012"/>
      <c r="AA88" s="1012"/>
    </row>
    <row r="89" spans="4:27" x14ac:dyDescent="0.2">
      <c r="Y89" s="995"/>
      <c r="Z89" s="1012"/>
      <c r="AA89" s="1012"/>
    </row>
    <row r="90" spans="4:27" x14ac:dyDescent="0.2">
      <c r="Y90" s="995"/>
      <c r="Z90" s="1012"/>
      <c r="AA90" s="1012"/>
    </row>
  </sheetData>
  <sheetProtection selectLockedCells="1" selectUnlockedCells="1"/>
  <dataConsolidate/>
  <mergeCells count="3">
    <mergeCell ref="D1:E1"/>
    <mergeCell ref="K1:L1"/>
    <mergeCell ref="N1:O1"/>
  </mergeCells>
  <pageMargins left="0.17" right="0.17" top="0.28000000000000003" bottom="0.4" header="0.17" footer="0.19"/>
  <pageSetup scale="42" fitToWidth="2" orientation="landscape" horizontalDpi="1200" verticalDpi="1200" r:id="rId1"/>
  <headerFooter alignWithMargins="0"/>
  <legacyDrawing r:id="rId2"/>
  <extLst>
    <ext xmlns:x14="http://schemas.microsoft.com/office/spreadsheetml/2009/9/main" uri="{CCE6A557-97BC-4b89-ADB6-D9C93CAAB3DF}">
      <x14:dataValidations xmlns:xm="http://schemas.microsoft.com/office/excel/2006/main" count="1">
        <x14: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xr:uid="{00000000-0002-0000-0D00-000000000000}">
          <x14:formula1>
            <xm:f>0</xm:f>
          </x14:formula1>
          <xm:sqref>AC17 JY17 TU17 ADQ17 ANM17 AXI17 BHE17 BRA17 CAW17 CKS17 CUO17 DEK17 DOG17 DYC17 EHY17 ERU17 FBQ17 FLM17 FVI17 GFE17 GPA17 GYW17 HIS17 HSO17 ICK17 IMG17 IWC17 JFY17 JPU17 JZQ17 KJM17 KTI17 LDE17 LNA17 LWW17 MGS17 MQO17 NAK17 NKG17 NUC17 ODY17 ONU17 OXQ17 PHM17 PRI17 QBE17 QLA17 QUW17 RES17 ROO17 RYK17 SIG17 SSC17 TBY17 TLU17 TVQ17 UFM17 UPI17 UZE17 VJA17 VSW17 WCS17 WMO17 WWK17 AC65553 JY65553 TU65553 ADQ65553 ANM65553 AXI65553 BHE65553 BRA65553 CAW65553 CKS65553 CUO65553 DEK65553 DOG65553 DYC65553 EHY65553 ERU65553 FBQ65553 FLM65553 FVI65553 GFE65553 GPA65553 GYW65553 HIS65553 HSO65553 ICK65553 IMG65553 IWC65553 JFY65553 JPU65553 JZQ65553 KJM65553 KTI65553 LDE65553 LNA65553 LWW65553 MGS65553 MQO65553 NAK65553 NKG65553 NUC65553 ODY65553 ONU65553 OXQ65553 PHM65553 PRI65553 QBE65553 QLA65553 QUW65553 RES65553 ROO65553 RYK65553 SIG65553 SSC65553 TBY65553 TLU65553 TVQ65553 UFM65553 UPI65553 UZE65553 VJA65553 VSW65553 WCS65553 WMO65553 WWK65553 AC131089 JY131089 TU131089 ADQ131089 ANM131089 AXI131089 BHE131089 BRA131089 CAW131089 CKS131089 CUO131089 DEK131089 DOG131089 DYC131089 EHY131089 ERU131089 FBQ131089 FLM131089 FVI131089 GFE131089 GPA131089 GYW131089 HIS131089 HSO131089 ICK131089 IMG131089 IWC131089 JFY131089 JPU131089 JZQ131089 KJM131089 KTI131089 LDE131089 LNA131089 LWW131089 MGS131089 MQO131089 NAK131089 NKG131089 NUC131089 ODY131089 ONU131089 OXQ131089 PHM131089 PRI131089 QBE131089 QLA131089 QUW131089 RES131089 ROO131089 RYK131089 SIG131089 SSC131089 TBY131089 TLU131089 TVQ131089 UFM131089 UPI131089 UZE131089 VJA131089 VSW131089 WCS131089 WMO131089 WWK131089 AC196625 JY196625 TU196625 ADQ196625 ANM196625 AXI196625 BHE196625 BRA196625 CAW196625 CKS196625 CUO196625 DEK196625 DOG196625 DYC196625 EHY196625 ERU196625 FBQ196625 FLM196625 FVI196625 GFE196625 GPA196625 GYW196625 HIS196625 HSO196625 ICK196625 IMG196625 IWC196625 JFY196625 JPU196625 JZQ196625 KJM196625 KTI196625 LDE196625 LNA196625 LWW196625 MGS196625 MQO196625 NAK196625 NKG196625 NUC196625 ODY196625 ONU196625 OXQ196625 PHM196625 PRI196625 QBE196625 QLA196625 QUW196625 RES196625 ROO196625 RYK196625 SIG196625 SSC196625 TBY196625 TLU196625 TVQ196625 UFM196625 UPI196625 UZE196625 VJA196625 VSW196625 WCS196625 WMO196625 WWK196625 AC262161 JY262161 TU262161 ADQ262161 ANM262161 AXI262161 BHE262161 BRA262161 CAW262161 CKS262161 CUO262161 DEK262161 DOG262161 DYC262161 EHY262161 ERU262161 FBQ262161 FLM262161 FVI262161 GFE262161 GPA262161 GYW262161 HIS262161 HSO262161 ICK262161 IMG262161 IWC262161 JFY262161 JPU262161 JZQ262161 KJM262161 KTI262161 LDE262161 LNA262161 LWW262161 MGS262161 MQO262161 NAK262161 NKG262161 NUC262161 ODY262161 ONU262161 OXQ262161 PHM262161 PRI262161 QBE262161 QLA262161 QUW262161 RES262161 ROO262161 RYK262161 SIG262161 SSC262161 TBY262161 TLU262161 TVQ262161 UFM262161 UPI262161 UZE262161 VJA262161 VSW262161 WCS262161 WMO262161 WWK262161 AC327697 JY327697 TU327697 ADQ327697 ANM327697 AXI327697 BHE327697 BRA327697 CAW327697 CKS327697 CUO327697 DEK327697 DOG327697 DYC327697 EHY327697 ERU327697 FBQ327697 FLM327697 FVI327697 GFE327697 GPA327697 GYW327697 HIS327697 HSO327697 ICK327697 IMG327697 IWC327697 JFY327697 JPU327697 JZQ327697 KJM327697 KTI327697 LDE327697 LNA327697 LWW327697 MGS327697 MQO327697 NAK327697 NKG327697 NUC327697 ODY327697 ONU327697 OXQ327697 PHM327697 PRI327697 QBE327697 QLA327697 QUW327697 RES327697 ROO327697 RYK327697 SIG327697 SSC327697 TBY327697 TLU327697 TVQ327697 UFM327697 UPI327697 UZE327697 VJA327697 VSW327697 WCS327697 WMO327697 WWK327697 AC393233 JY393233 TU393233 ADQ393233 ANM393233 AXI393233 BHE393233 BRA393233 CAW393233 CKS393233 CUO393233 DEK393233 DOG393233 DYC393233 EHY393233 ERU393233 FBQ393233 FLM393233 FVI393233 GFE393233 GPA393233 GYW393233 HIS393233 HSO393233 ICK393233 IMG393233 IWC393233 JFY393233 JPU393233 JZQ393233 KJM393233 KTI393233 LDE393233 LNA393233 LWW393233 MGS393233 MQO393233 NAK393233 NKG393233 NUC393233 ODY393233 ONU393233 OXQ393233 PHM393233 PRI393233 QBE393233 QLA393233 QUW393233 RES393233 ROO393233 RYK393233 SIG393233 SSC393233 TBY393233 TLU393233 TVQ393233 UFM393233 UPI393233 UZE393233 VJA393233 VSW393233 WCS393233 WMO393233 WWK393233 AC458769 JY458769 TU458769 ADQ458769 ANM458769 AXI458769 BHE458769 BRA458769 CAW458769 CKS458769 CUO458769 DEK458769 DOG458769 DYC458769 EHY458769 ERU458769 FBQ458769 FLM458769 FVI458769 GFE458769 GPA458769 GYW458769 HIS458769 HSO458769 ICK458769 IMG458769 IWC458769 JFY458769 JPU458769 JZQ458769 KJM458769 KTI458769 LDE458769 LNA458769 LWW458769 MGS458769 MQO458769 NAK458769 NKG458769 NUC458769 ODY458769 ONU458769 OXQ458769 PHM458769 PRI458769 QBE458769 QLA458769 QUW458769 RES458769 ROO458769 RYK458769 SIG458769 SSC458769 TBY458769 TLU458769 TVQ458769 UFM458769 UPI458769 UZE458769 VJA458769 VSW458769 WCS458769 WMO458769 WWK458769 AC524305 JY524305 TU524305 ADQ524305 ANM524305 AXI524305 BHE524305 BRA524305 CAW524305 CKS524305 CUO524305 DEK524305 DOG524305 DYC524305 EHY524305 ERU524305 FBQ524305 FLM524305 FVI524305 GFE524305 GPA524305 GYW524305 HIS524305 HSO524305 ICK524305 IMG524305 IWC524305 JFY524305 JPU524305 JZQ524305 KJM524305 KTI524305 LDE524305 LNA524305 LWW524305 MGS524305 MQO524305 NAK524305 NKG524305 NUC524305 ODY524305 ONU524305 OXQ524305 PHM524305 PRI524305 QBE524305 QLA524305 QUW524305 RES524305 ROO524305 RYK524305 SIG524305 SSC524305 TBY524305 TLU524305 TVQ524305 UFM524305 UPI524305 UZE524305 VJA524305 VSW524305 WCS524305 WMO524305 WWK524305 AC589841 JY589841 TU589841 ADQ589841 ANM589841 AXI589841 BHE589841 BRA589841 CAW589841 CKS589841 CUO589841 DEK589841 DOG589841 DYC589841 EHY589841 ERU589841 FBQ589841 FLM589841 FVI589841 GFE589841 GPA589841 GYW589841 HIS589841 HSO589841 ICK589841 IMG589841 IWC589841 JFY589841 JPU589841 JZQ589841 KJM589841 KTI589841 LDE589841 LNA589841 LWW589841 MGS589841 MQO589841 NAK589841 NKG589841 NUC589841 ODY589841 ONU589841 OXQ589841 PHM589841 PRI589841 QBE589841 QLA589841 QUW589841 RES589841 ROO589841 RYK589841 SIG589841 SSC589841 TBY589841 TLU589841 TVQ589841 UFM589841 UPI589841 UZE589841 VJA589841 VSW589841 WCS589841 WMO589841 WWK589841 AC655377 JY655377 TU655377 ADQ655377 ANM655377 AXI655377 BHE655377 BRA655377 CAW655377 CKS655377 CUO655377 DEK655377 DOG655377 DYC655377 EHY655377 ERU655377 FBQ655377 FLM655377 FVI655377 GFE655377 GPA655377 GYW655377 HIS655377 HSO655377 ICK655377 IMG655377 IWC655377 JFY655377 JPU655377 JZQ655377 KJM655377 KTI655377 LDE655377 LNA655377 LWW655377 MGS655377 MQO655377 NAK655377 NKG655377 NUC655377 ODY655377 ONU655377 OXQ655377 PHM655377 PRI655377 QBE655377 QLA655377 QUW655377 RES655377 ROO655377 RYK655377 SIG655377 SSC655377 TBY655377 TLU655377 TVQ655377 UFM655377 UPI655377 UZE655377 VJA655377 VSW655377 WCS655377 WMO655377 WWK655377 AC720913 JY720913 TU720913 ADQ720913 ANM720913 AXI720913 BHE720913 BRA720913 CAW720913 CKS720913 CUO720913 DEK720913 DOG720913 DYC720913 EHY720913 ERU720913 FBQ720913 FLM720913 FVI720913 GFE720913 GPA720913 GYW720913 HIS720913 HSO720913 ICK720913 IMG720913 IWC720913 JFY720913 JPU720913 JZQ720913 KJM720913 KTI720913 LDE720913 LNA720913 LWW720913 MGS720913 MQO720913 NAK720913 NKG720913 NUC720913 ODY720913 ONU720913 OXQ720913 PHM720913 PRI720913 QBE720913 QLA720913 QUW720913 RES720913 ROO720913 RYK720913 SIG720913 SSC720913 TBY720913 TLU720913 TVQ720913 UFM720913 UPI720913 UZE720913 VJA720913 VSW720913 WCS720913 WMO720913 WWK720913 AC786449 JY786449 TU786449 ADQ786449 ANM786449 AXI786449 BHE786449 BRA786449 CAW786449 CKS786449 CUO786449 DEK786449 DOG786449 DYC786449 EHY786449 ERU786449 FBQ786449 FLM786449 FVI786449 GFE786449 GPA786449 GYW786449 HIS786449 HSO786449 ICK786449 IMG786449 IWC786449 JFY786449 JPU786449 JZQ786449 KJM786449 KTI786449 LDE786449 LNA786449 LWW786449 MGS786449 MQO786449 NAK786449 NKG786449 NUC786449 ODY786449 ONU786449 OXQ786449 PHM786449 PRI786449 QBE786449 QLA786449 QUW786449 RES786449 ROO786449 RYK786449 SIG786449 SSC786449 TBY786449 TLU786449 TVQ786449 UFM786449 UPI786449 UZE786449 VJA786449 VSW786449 WCS786449 WMO786449 WWK786449 AC851985 JY851985 TU851985 ADQ851985 ANM851985 AXI851985 BHE851985 BRA851985 CAW851985 CKS851985 CUO851985 DEK851985 DOG851985 DYC851985 EHY851985 ERU851985 FBQ851985 FLM851985 FVI851985 GFE851985 GPA851985 GYW851985 HIS851985 HSO851985 ICK851985 IMG851985 IWC851985 JFY851985 JPU851985 JZQ851985 KJM851985 KTI851985 LDE851985 LNA851985 LWW851985 MGS851985 MQO851985 NAK851985 NKG851985 NUC851985 ODY851985 ONU851985 OXQ851985 PHM851985 PRI851985 QBE851985 QLA851985 QUW851985 RES851985 ROO851985 RYK851985 SIG851985 SSC851985 TBY851985 TLU851985 TVQ851985 UFM851985 UPI851985 UZE851985 VJA851985 VSW851985 WCS851985 WMO851985 WWK851985 AC917521 JY917521 TU917521 ADQ917521 ANM917521 AXI917521 BHE917521 BRA917521 CAW917521 CKS917521 CUO917521 DEK917521 DOG917521 DYC917521 EHY917521 ERU917521 FBQ917521 FLM917521 FVI917521 GFE917521 GPA917521 GYW917521 HIS917521 HSO917521 ICK917521 IMG917521 IWC917521 JFY917521 JPU917521 JZQ917521 KJM917521 KTI917521 LDE917521 LNA917521 LWW917521 MGS917521 MQO917521 NAK917521 NKG917521 NUC917521 ODY917521 ONU917521 OXQ917521 PHM917521 PRI917521 QBE917521 QLA917521 QUW917521 RES917521 ROO917521 RYK917521 SIG917521 SSC917521 TBY917521 TLU917521 TVQ917521 UFM917521 UPI917521 UZE917521 VJA917521 VSW917521 WCS917521 WMO917521 WWK917521 AC983057 JY983057 TU983057 ADQ983057 ANM983057 AXI983057 BHE983057 BRA983057 CAW983057 CKS983057 CUO983057 DEK983057 DOG983057 DYC983057 EHY983057 ERU983057 FBQ983057 FLM983057 FVI983057 GFE983057 GPA983057 GYW983057 HIS983057 HSO983057 ICK983057 IMG983057 IWC983057 JFY983057 JPU983057 JZQ983057 KJM983057 KTI983057 LDE983057 LNA983057 LWW983057 MGS983057 MQO983057 NAK983057 NKG983057 NUC983057 ODY983057 ONU983057 OXQ983057 PHM983057 PRI983057 QBE983057 QLA983057 QUW983057 RES983057 ROO983057 RYK983057 SIG983057 SSC983057 TBY983057 TLU983057 TVQ983057 UFM983057 UPI983057 UZE983057 VJA983057 VSW983057 WCS983057 WMO983057 WWK983057 V22:W22 JR22:JS22 TN22:TO22 ADJ22:ADK22 ANF22:ANG22 AXB22:AXC22 BGX22:BGY22 BQT22:BQU22 CAP22:CAQ22 CKL22:CKM22 CUH22:CUI22 DED22:DEE22 DNZ22:DOA22 DXV22:DXW22 EHR22:EHS22 ERN22:ERO22 FBJ22:FBK22 FLF22:FLG22 FVB22:FVC22 GEX22:GEY22 GOT22:GOU22 GYP22:GYQ22 HIL22:HIM22 HSH22:HSI22 ICD22:ICE22 ILZ22:IMA22 IVV22:IVW22 JFR22:JFS22 JPN22:JPO22 JZJ22:JZK22 KJF22:KJG22 KTB22:KTC22 LCX22:LCY22 LMT22:LMU22 LWP22:LWQ22 MGL22:MGM22 MQH22:MQI22 NAD22:NAE22 NJZ22:NKA22 NTV22:NTW22 ODR22:ODS22 ONN22:ONO22 OXJ22:OXK22 PHF22:PHG22 PRB22:PRC22 QAX22:QAY22 QKT22:QKU22 QUP22:QUQ22 REL22:REM22 ROH22:ROI22 RYD22:RYE22 SHZ22:SIA22 SRV22:SRW22 TBR22:TBS22 TLN22:TLO22 TVJ22:TVK22 UFF22:UFG22 UPB22:UPC22 UYX22:UYY22 VIT22:VIU22 VSP22:VSQ22 WCL22:WCM22 WMH22:WMI22 WWD22:WWE22 V65558:W65558 JR65558:JS65558 TN65558:TO65558 ADJ65558:ADK65558 ANF65558:ANG65558 AXB65558:AXC65558 BGX65558:BGY65558 BQT65558:BQU65558 CAP65558:CAQ65558 CKL65558:CKM65558 CUH65558:CUI65558 DED65558:DEE65558 DNZ65558:DOA65558 DXV65558:DXW65558 EHR65558:EHS65558 ERN65558:ERO65558 FBJ65558:FBK65558 FLF65558:FLG65558 FVB65558:FVC65558 GEX65558:GEY65558 GOT65558:GOU65558 GYP65558:GYQ65558 HIL65558:HIM65558 HSH65558:HSI65558 ICD65558:ICE65558 ILZ65558:IMA65558 IVV65558:IVW65558 JFR65558:JFS65558 JPN65558:JPO65558 JZJ65558:JZK65558 KJF65558:KJG65558 KTB65558:KTC65558 LCX65558:LCY65558 LMT65558:LMU65558 LWP65558:LWQ65558 MGL65558:MGM65558 MQH65558:MQI65558 NAD65558:NAE65558 NJZ65558:NKA65558 NTV65558:NTW65558 ODR65558:ODS65558 ONN65558:ONO65558 OXJ65558:OXK65558 PHF65558:PHG65558 PRB65558:PRC65558 QAX65558:QAY65558 QKT65558:QKU65558 QUP65558:QUQ65558 REL65558:REM65558 ROH65558:ROI65558 RYD65558:RYE65558 SHZ65558:SIA65558 SRV65558:SRW65558 TBR65558:TBS65558 TLN65558:TLO65558 TVJ65558:TVK65558 UFF65558:UFG65558 UPB65558:UPC65558 UYX65558:UYY65558 VIT65558:VIU65558 VSP65558:VSQ65558 WCL65558:WCM65558 WMH65558:WMI65558 WWD65558:WWE65558 V131094:W131094 JR131094:JS131094 TN131094:TO131094 ADJ131094:ADK131094 ANF131094:ANG131094 AXB131094:AXC131094 BGX131094:BGY131094 BQT131094:BQU131094 CAP131094:CAQ131094 CKL131094:CKM131094 CUH131094:CUI131094 DED131094:DEE131094 DNZ131094:DOA131094 DXV131094:DXW131094 EHR131094:EHS131094 ERN131094:ERO131094 FBJ131094:FBK131094 FLF131094:FLG131094 FVB131094:FVC131094 GEX131094:GEY131094 GOT131094:GOU131094 GYP131094:GYQ131094 HIL131094:HIM131094 HSH131094:HSI131094 ICD131094:ICE131094 ILZ131094:IMA131094 IVV131094:IVW131094 JFR131094:JFS131094 JPN131094:JPO131094 JZJ131094:JZK131094 KJF131094:KJG131094 KTB131094:KTC131094 LCX131094:LCY131094 LMT131094:LMU131094 LWP131094:LWQ131094 MGL131094:MGM131094 MQH131094:MQI131094 NAD131094:NAE131094 NJZ131094:NKA131094 NTV131094:NTW131094 ODR131094:ODS131094 ONN131094:ONO131094 OXJ131094:OXK131094 PHF131094:PHG131094 PRB131094:PRC131094 QAX131094:QAY131094 QKT131094:QKU131094 QUP131094:QUQ131094 REL131094:REM131094 ROH131094:ROI131094 RYD131094:RYE131094 SHZ131094:SIA131094 SRV131094:SRW131094 TBR131094:TBS131094 TLN131094:TLO131094 TVJ131094:TVK131094 UFF131094:UFG131094 UPB131094:UPC131094 UYX131094:UYY131094 VIT131094:VIU131094 VSP131094:VSQ131094 WCL131094:WCM131094 WMH131094:WMI131094 WWD131094:WWE131094 V196630:W196630 JR196630:JS196630 TN196630:TO196630 ADJ196630:ADK196630 ANF196630:ANG196630 AXB196630:AXC196630 BGX196630:BGY196630 BQT196630:BQU196630 CAP196630:CAQ196630 CKL196630:CKM196630 CUH196630:CUI196630 DED196630:DEE196630 DNZ196630:DOA196630 DXV196630:DXW196630 EHR196630:EHS196630 ERN196630:ERO196630 FBJ196630:FBK196630 FLF196630:FLG196630 FVB196630:FVC196630 GEX196630:GEY196630 GOT196630:GOU196630 GYP196630:GYQ196630 HIL196630:HIM196630 HSH196630:HSI196630 ICD196630:ICE196630 ILZ196630:IMA196630 IVV196630:IVW196630 JFR196630:JFS196630 JPN196630:JPO196630 JZJ196630:JZK196630 KJF196630:KJG196630 KTB196630:KTC196630 LCX196630:LCY196630 LMT196630:LMU196630 LWP196630:LWQ196630 MGL196630:MGM196630 MQH196630:MQI196630 NAD196630:NAE196630 NJZ196630:NKA196630 NTV196630:NTW196630 ODR196630:ODS196630 ONN196630:ONO196630 OXJ196630:OXK196630 PHF196630:PHG196630 PRB196630:PRC196630 QAX196630:QAY196630 QKT196630:QKU196630 QUP196630:QUQ196630 REL196630:REM196630 ROH196630:ROI196630 RYD196630:RYE196630 SHZ196630:SIA196630 SRV196630:SRW196630 TBR196630:TBS196630 TLN196630:TLO196630 TVJ196630:TVK196630 UFF196630:UFG196630 UPB196630:UPC196630 UYX196630:UYY196630 VIT196630:VIU196630 VSP196630:VSQ196630 WCL196630:WCM196630 WMH196630:WMI196630 WWD196630:WWE196630 V262166:W262166 JR262166:JS262166 TN262166:TO262166 ADJ262166:ADK262166 ANF262166:ANG262166 AXB262166:AXC262166 BGX262166:BGY262166 BQT262166:BQU262166 CAP262166:CAQ262166 CKL262166:CKM262166 CUH262166:CUI262166 DED262166:DEE262166 DNZ262166:DOA262166 DXV262166:DXW262166 EHR262166:EHS262166 ERN262166:ERO262166 FBJ262166:FBK262166 FLF262166:FLG262166 FVB262166:FVC262166 GEX262166:GEY262166 GOT262166:GOU262166 GYP262166:GYQ262166 HIL262166:HIM262166 HSH262166:HSI262166 ICD262166:ICE262166 ILZ262166:IMA262166 IVV262166:IVW262166 JFR262166:JFS262166 JPN262166:JPO262166 JZJ262166:JZK262166 KJF262166:KJG262166 KTB262166:KTC262166 LCX262166:LCY262166 LMT262166:LMU262166 LWP262166:LWQ262166 MGL262166:MGM262166 MQH262166:MQI262166 NAD262166:NAE262166 NJZ262166:NKA262166 NTV262166:NTW262166 ODR262166:ODS262166 ONN262166:ONO262166 OXJ262166:OXK262166 PHF262166:PHG262166 PRB262166:PRC262166 QAX262166:QAY262166 QKT262166:QKU262166 QUP262166:QUQ262166 REL262166:REM262166 ROH262166:ROI262166 RYD262166:RYE262166 SHZ262166:SIA262166 SRV262166:SRW262166 TBR262166:TBS262166 TLN262166:TLO262166 TVJ262166:TVK262166 UFF262166:UFG262166 UPB262166:UPC262166 UYX262166:UYY262166 VIT262166:VIU262166 VSP262166:VSQ262166 WCL262166:WCM262166 WMH262166:WMI262166 WWD262166:WWE262166 V327702:W327702 JR327702:JS327702 TN327702:TO327702 ADJ327702:ADK327702 ANF327702:ANG327702 AXB327702:AXC327702 BGX327702:BGY327702 BQT327702:BQU327702 CAP327702:CAQ327702 CKL327702:CKM327702 CUH327702:CUI327702 DED327702:DEE327702 DNZ327702:DOA327702 DXV327702:DXW327702 EHR327702:EHS327702 ERN327702:ERO327702 FBJ327702:FBK327702 FLF327702:FLG327702 FVB327702:FVC327702 GEX327702:GEY327702 GOT327702:GOU327702 GYP327702:GYQ327702 HIL327702:HIM327702 HSH327702:HSI327702 ICD327702:ICE327702 ILZ327702:IMA327702 IVV327702:IVW327702 JFR327702:JFS327702 JPN327702:JPO327702 JZJ327702:JZK327702 KJF327702:KJG327702 KTB327702:KTC327702 LCX327702:LCY327702 LMT327702:LMU327702 LWP327702:LWQ327702 MGL327702:MGM327702 MQH327702:MQI327702 NAD327702:NAE327702 NJZ327702:NKA327702 NTV327702:NTW327702 ODR327702:ODS327702 ONN327702:ONO327702 OXJ327702:OXK327702 PHF327702:PHG327702 PRB327702:PRC327702 QAX327702:QAY327702 QKT327702:QKU327702 QUP327702:QUQ327702 REL327702:REM327702 ROH327702:ROI327702 RYD327702:RYE327702 SHZ327702:SIA327702 SRV327702:SRW327702 TBR327702:TBS327702 TLN327702:TLO327702 TVJ327702:TVK327702 UFF327702:UFG327702 UPB327702:UPC327702 UYX327702:UYY327702 VIT327702:VIU327702 VSP327702:VSQ327702 WCL327702:WCM327702 WMH327702:WMI327702 WWD327702:WWE327702 V393238:W393238 JR393238:JS393238 TN393238:TO393238 ADJ393238:ADK393238 ANF393238:ANG393238 AXB393238:AXC393238 BGX393238:BGY393238 BQT393238:BQU393238 CAP393238:CAQ393238 CKL393238:CKM393238 CUH393238:CUI393238 DED393238:DEE393238 DNZ393238:DOA393238 DXV393238:DXW393238 EHR393238:EHS393238 ERN393238:ERO393238 FBJ393238:FBK393238 FLF393238:FLG393238 FVB393238:FVC393238 GEX393238:GEY393238 GOT393238:GOU393238 GYP393238:GYQ393238 HIL393238:HIM393238 HSH393238:HSI393238 ICD393238:ICE393238 ILZ393238:IMA393238 IVV393238:IVW393238 JFR393238:JFS393238 JPN393238:JPO393238 JZJ393238:JZK393238 KJF393238:KJG393238 KTB393238:KTC393238 LCX393238:LCY393238 LMT393238:LMU393238 LWP393238:LWQ393238 MGL393238:MGM393238 MQH393238:MQI393238 NAD393238:NAE393238 NJZ393238:NKA393238 NTV393238:NTW393238 ODR393238:ODS393238 ONN393238:ONO393238 OXJ393238:OXK393238 PHF393238:PHG393238 PRB393238:PRC393238 QAX393238:QAY393238 QKT393238:QKU393238 QUP393238:QUQ393238 REL393238:REM393238 ROH393238:ROI393238 RYD393238:RYE393238 SHZ393238:SIA393238 SRV393238:SRW393238 TBR393238:TBS393238 TLN393238:TLO393238 TVJ393238:TVK393238 UFF393238:UFG393238 UPB393238:UPC393238 UYX393238:UYY393238 VIT393238:VIU393238 VSP393238:VSQ393238 WCL393238:WCM393238 WMH393238:WMI393238 WWD393238:WWE393238 V458774:W458774 JR458774:JS458774 TN458774:TO458774 ADJ458774:ADK458774 ANF458774:ANG458774 AXB458774:AXC458774 BGX458774:BGY458774 BQT458774:BQU458774 CAP458774:CAQ458774 CKL458774:CKM458774 CUH458774:CUI458774 DED458774:DEE458774 DNZ458774:DOA458774 DXV458774:DXW458774 EHR458774:EHS458774 ERN458774:ERO458774 FBJ458774:FBK458774 FLF458774:FLG458774 FVB458774:FVC458774 GEX458774:GEY458774 GOT458774:GOU458774 GYP458774:GYQ458774 HIL458774:HIM458774 HSH458774:HSI458774 ICD458774:ICE458774 ILZ458774:IMA458774 IVV458774:IVW458774 JFR458774:JFS458774 JPN458774:JPO458774 JZJ458774:JZK458774 KJF458774:KJG458774 KTB458774:KTC458774 LCX458774:LCY458774 LMT458774:LMU458774 LWP458774:LWQ458774 MGL458774:MGM458774 MQH458774:MQI458774 NAD458774:NAE458774 NJZ458774:NKA458774 NTV458774:NTW458774 ODR458774:ODS458774 ONN458774:ONO458774 OXJ458774:OXK458774 PHF458774:PHG458774 PRB458774:PRC458774 QAX458774:QAY458774 QKT458774:QKU458774 QUP458774:QUQ458774 REL458774:REM458774 ROH458774:ROI458774 RYD458774:RYE458774 SHZ458774:SIA458774 SRV458774:SRW458774 TBR458774:TBS458774 TLN458774:TLO458774 TVJ458774:TVK458774 UFF458774:UFG458774 UPB458774:UPC458774 UYX458774:UYY458774 VIT458774:VIU458774 VSP458774:VSQ458774 WCL458774:WCM458774 WMH458774:WMI458774 WWD458774:WWE458774 V524310:W524310 JR524310:JS524310 TN524310:TO524310 ADJ524310:ADK524310 ANF524310:ANG524310 AXB524310:AXC524310 BGX524310:BGY524310 BQT524310:BQU524310 CAP524310:CAQ524310 CKL524310:CKM524310 CUH524310:CUI524310 DED524310:DEE524310 DNZ524310:DOA524310 DXV524310:DXW524310 EHR524310:EHS524310 ERN524310:ERO524310 FBJ524310:FBK524310 FLF524310:FLG524310 FVB524310:FVC524310 GEX524310:GEY524310 GOT524310:GOU524310 GYP524310:GYQ524310 HIL524310:HIM524310 HSH524310:HSI524310 ICD524310:ICE524310 ILZ524310:IMA524310 IVV524310:IVW524310 JFR524310:JFS524310 JPN524310:JPO524310 JZJ524310:JZK524310 KJF524310:KJG524310 KTB524310:KTC524310 LCX524310:LCY524310 LMT524310:LMU524310 LWP524310:LWQ524310 MGL524310:MGM524310 MQH524310:MQI524310 NAD524310:NAE524310 NJZ524310:NKA524310 NTV524310:NTW524310 ODR524310:ODS524310 ONN524310:ONO524310 OXJ524310:OXK524310 PHF524310:PHG524310 PRB524310:PRC524310 QAX524310:QAY524310 QKT524310:QKU524310 QUP524310:QUQ524310 REL524310:REM524310 ROH524310:ROI524310 RYD524310:RYE524310 SHZ524310:SIA524310 SRV524310:SRW524310 TBR524310:TBS524310 TLN524310:TLO524310 TVJ524310:TVK524310 UFF524310:UFG524310 UPB524310:UPC524310 UYX524310:UYY524310 VIT524310:VIU524310 VSP524310:VSQ524310 WCL524310:WCM524310 WMH524310:WMI524310 WWD524310:WWE524310 V589846:W589846 JR589846:JS589846 TN589846:TO589846 ADJ589846:ADK589846 ANF589846:ANG589846 AXB589846:AXC589846 BGX589846:BGY589846 BQT589846:BQU589846 CAP589846:CAQ589846 CKL589846:CKM589846 CUH589846:CUI589846 DED589846:DEE589846 DNZ589846:DOA589846 DXV589846:DXW589846 EHR589846:EHS589846 ERN589846:ERO589846 FBJ589846:FBK589846 FLF589846:FLG589846 FVB589846:FVC589846 GEX589846:GEY589846 GOT589846:GOU589846 GYP589846:GYQ589846 HIL589846:HIM589846 HSH589846:HSI589846 ICD589846:ICE589846 ILZ589846:IMA589846 IVV589846:IVW589846 JFR589846:JFS589846 JPN589846:JPO589846 JZJ589846:JZK589846 KJF589846:KJG589846 KTB589846:KTC589846 LCX589846:LCY589846 LMT589846:LMU589846 LWP589846:LWQ589846 MGL589846:MGM589846 MQH589846:MQI589846 NAD589846:NAE589846 NJZ589846:NKA589846 NTV589846:NTW589846 ODR589846:ODS589846 ONN589846:ONO589846 OXJ589846:OXK589846 PHF589846:PHG589846 PRB589846:PRC589846 QAX589846:QAY589846 QKT589846:QKU589846 QUP589846:QUQ589846 REL589846:REM589846 ROH589846:ROI589846 RYD589846:RYE589846 SHZ589846:SIA589846 SRV589846:SRW589846 TBR589846:TBS589846 TLN589846:TLO589846 TVJ589846:TVK589846 UFF589846:UFG589846 UPB589846:UPC589846 UYX589846:UYY589846 VIT589846:VIU589846 VSP589846:VSQ589846 WCL589846:WCM589846 WMH589846:WMI589846 WWD589846:WWE589846 V655382:W655382 JR655382:JS655382 TN655382:TO655382 ADJ655382:ADK655382 ANF655382:ANG655382 AXB655382:AXC655382 BGX655382:BGY655382 BQT655382:BQU655382 CAP655382:CAQ655382 CKL655382:CKM655382 CUH655382:CUI655382 DED655382:DEE655382 DNZ655382:DOA655382 DXV655382:DXW655382 EHR655382:EHS655382 ERN655382:ERO655382 FBJ655382:FBK655382 FLF655382:FLG655382 FVB655382:FVC655382 GEX655382:GEY655382 GOT655382:GOU655382 GYP655382:GYQ655382 HIL655382:HIM655382 HSH655382:HSI655382 ICD655382:ICE655382 ILZ655382:IMA655382 IVV655382:IVW655382 JFR655382:JFS655382 JPN655382:JPO655382 JZJ655382:JZK655382 KJF655382:KJG655382 KTB655382:KTC655382 LCX655382:LCY655382 LMT655382:LMU655382 LWP655382:LWQ655382 MGL655382:MGM655382 MQH655382:MQI655382 NAD655382:NAE655382 NJZ655382:NKA655382 NTV655382:NTW655382 ODR655382:ODS655382 ONN655382:ONO655382 OXJ655382:OXK655382 PHF655382:PHG655382 PRB655382:PRC655382 QAX655382:QAY655382 QKT655382:QKU655382 QUP655382:QUQ655382 REL655382:REM655382 ROH655382:ROI655382 RYD655382:RYE655382 SHZ655382:SIA655382 SRV655382:SRW655382 TBR655382:TBS655382 TLN655382:TLO655382 TVJ655382:TVK655382 UFF655382:UFG655382 UPB655382:UPC655382 UYX655382:UYY655382 VIT655382:VIU655382 VSP655382:VSQ655382 WCL655382:WCM655382 WMH655382:WMI655382 WWD655382:WWE655382 V720918:W720918 JR720918:JS720918 TN720918:TO720918 ADJ720918:ADK720918 ANF720918:ANG720918 AXB720918:AXC720918 BGX720918:BGY720918 BQT720918:BQU720918 CAP720918:CAQ720918 CKL720918:CKM720918 CUH720918:CUI720918 DED720918:DEE720918 DNZ720918:DOA720918 DXV720918:DXW720918 EHR720918:EHS720918 ERN720918:ERO720918 FBJ720918:FBK720918 FLF720918:FLG720918 FVB720918:FVC720918 GEX720918:GEY720918 GOT720918:GOU720918 GYP720918:GYQ720918 HIL720918:HIM720918 HSH720918:HSI720918 ICD720918:ICE720918 ILZ720918:IMA720918 IVV720918:IVW720918 JFR720918:JFS720918 JPN720918:JPO720918 JZJ720918:JZK720918 KJF720918:KJG720918 KTB720918:KTC720918 LCX720918:LCY720918 LMT720918:LMU720918 LWP720918:LWQ720918 MGL720918:MGM720918 MQH720918:MQI720918 NAD720918:NAE720918 NJZ720918:NKA720918 NTV720918:NTW720918 ODR720918:ODS720918 ONN720918:ONO720918 OXJ720918:OXK720918 PHF720918:PHG720918 PRB720918:PRC720918 QAX720918:QAY720918 QKT720918:QKU720918 QUP720918:QUQ720918 REL720918:REM720918 ROH720918:ROI720918 RYD720918:RYE720918 SHZ720918:SIA720918 SRV720918:SRW720918 TBR720918:TBS720918 TLN720918:TLO720918 TVJ720918:TVK720918 UFF720918:UFG720918 UPB720918:UPC720918 UYX720918:UYY720918 VIT720918:VIU720918 VSP720918:VSQ720918 WCL720918:WCM720918 WMH720918:WMI720918 WWD720918:WWE720918 V786454:W786454 JR786454:JS786454 TN786454:TO786454 ADJ786454:ADK786454 ANF786454:ANG786454 AXB786454:AXC786454 BGX786454:BGY786454 BQT786454:BQU786454 CAP786454:CAQ786454 CKL786454:CKM786454 CUH786454:CUI786454 DED786454:DEE786454 DNZ786454:DOA786454 DXV786454:DXW786454 EHR786454:EHS786454 ERN786454:ERO786454 FBJ786454:FBK786454 FLF786454:FLG786454 FVB786454:FVC786454 GEX786454:GEY786454 GOT786454:GOU786454 GYP786454:GYQ786454 HIL786454:HIM786454 HSH786454:HSI786454 ICD786454:ICE786454 ILZ786454:IMA786454 IVV786454:IVW786454 JFR786454:JFS786454 JPN786454:JPO786454 JZJ786454:JZK786454 KJF786454:KJG786454 KTB786454:KTC786454 LCX786454:LCY786454 LMT786454:LMU786454 LWP786454:LWQ786454 MGL786454:MGM786454 MQH786454:MQI786454 NAD786454:NAE786454 NJZ786454:NKA786454 NTV786454:NTW786454 ODR786454:ODS786454 ONN786454:ONO786454 OXJ786454:OXK786454 PHF786454:PHG786454 PRB786454:PRC786454 QAX786454:QAY786454 QKT786454:QKU786454 QUP786454:QUQ786454 REL786454:REM786454 ROH786454:ROI786454 RYD786454:RYE786454 SHZ786454:SIA786454 SRV786454:SRW786454 TBR786454:TBS786454 TLN786454:TLO786454 TVJ786454:TVK786454 UFF786454:UFG786454 UPB786454:UPC786454 UYX786454:UYY786454 VIT786454:VIU786454 VSP786454:VSQ786454 WCL786454:WCM786454 WMH786454:WMI786454 WWD786454:WWE786454 V851990:W851990 JR851990:JS851990 TN851990:TO851990 ADJ851990:ADK851990 ANF851990:ANG851990 AXB851990:AXC851990 BGX851990:BGY851990 BQT851990:BQU851990 CAP851990:CAQ851990 CKL851990:CKM851990 CUH851990:CUI851990 DED851990:DEE851990 DNZ851990:DOA851990 DXV851990:DXW851990 EHR851990:EHS851990 ERN851990:ERO851990 FBJ851990:FBK851990 FLF851990:FLG851990 FVB851990:FVC851990 GEX851990:GEY851990 GOT851990:GOU851990 GYP851990:GYQ851990 HIL851990:HIM851990 HSH851990:HSI851990 ICD851990:ICE851990 ILZ851990:IMA851990 IVV851990:IVW851990 JFR851990:JFS851990 JPN851990:JPO851990 JZJ851990:JZK851990 KJF851990:KJG851990 KTB851990:KTC851990 LCX851990:LCY851990 LMT851990:LMU851990 LWP851990:LWQ851990 MGL851990:MGM851990 MQH851990:MQI851990 NAD851990:NAE851990 NJZ851990:NKA851990 NTV851990:NTW851990 ODR851990:ODS851990 ONN851990:ONO851990 OXJ851990:OXK851990 PHF851990:PHG851990 PRB851990:PRC851990 QAX851990:QAY851990 QKT851990:QKU851990 QUP851990:QUQ851990 REL851990:REM851990 ROH851990:ROI851990 RYD851990:RYE851990 SHZ851990:SIA851990 SRV851990:SRW851990 TBR851990:TBS851990 TLN851990:TLO851990 TVJ851990:TVK851990 UFF851990:UFG851990 UPB851990:UPC851990 UYX851990:UYY851990 VIT851990:VIU851990 VSP851990:VSQ851990 WCL851990:WCM851990 WMH851990:WMI851990 WWD851990:WWE851990 V917526:W917526 JR917526:JS917526 TN917526:TO917526 ADJ917526:ADK917526 ANF917526:ANG917526 AXB917526:AXC917526 BGX917526:BGY917526 BQT917526:BQU917526 CAP917526:CAQ917526 CKL917526:CKM917526 CUH917526:CUI917526 DED917526:DEE917526 DNZ917526:DOA917526 DXV917526:DXW917526 EHR917526:EHS917526 ERN917526:ERO917526 FBJ917526:FBK917526 FLF917526:FLG917526 FVB917526:FVC917526 GEX917526:GEY917526 GOT917526:GOU917526 GYP917526:GYQ917526 HIL917526:HIM917526 HSH917526:HSI917526 ICD917526:ICE917526 ILZ917526:IMA917526 IVV917526:IVW917526 JFR917526:JFS917526 JPN917526:JPO917526 JZJ917526:JZK917526 KJF917526:KJG917526 KTB917526:KTC917526 LCX917526:LCY917526 LMT917526:LMU917526 LWP917526:LWQ917526 MGL917526:MGM917526 MQH917526:MQI917526 NAD917526:NAE917526 NJZ917526:NKA917526 NTV917526:NTW917526 ODR917526:ODS917526 ONN917526:ONO917526 OXJ917526:OXK917526 PHF917526:PHG917526 PRB917526:PRC917526 QAX917526:QAY917526 QKT917526:QKU917526 QUP917526:QUQ917526 REL917526:REM917526 ROH917526:ROI917526 RYD917526:RYE917526 SHZ917526:SIA917526 SRV917526:SRW917526 TBR917526:TBS917526 TLN917526:TLO917526 TVJ917526:TVK917526 UFF917526:UFG917526 UPB917526:UPC917526 UYX917526:UYY917526 VIT917526:VIU917526 VSP917526:VSQ917526 WCL917526:WCM917526 WMH917526:WMI917526 WWD917526:WWE917526 V983062:W983062 JR983062:JS983062 TN983062:TO983062 ADJ983062:ADK983062 ANF983062:ANG983062 AXB983062:AXC983062 BGX983062:BGY983062 BQT983062:BQU983062 CAP983062:CAQ983062 CKL983062:CKM983062 CUH983062:CUI983062 DED983062:DEE983062 DNZ983062:DOA983062 DXV983062:DXW983062 EHR983062:EHS983062 ERN983062:ERO983062 FBJ983062:FBK983062 FLF983062:FLG983062 FVB983062:FVC983062 GEX983062:GEY983062 GOT983062:GOU983062 GYP983062:GYQ983062 HIL983062:HIM983062 HSH983062:HSI983062 ICD983062:ICE983062 ILZ983062:IMA983062 IVV983062:IVW983062 JFR983062:JFS983062 JPN983062:JPO983062 JZJ983062:JZK983062 KJF983062:KJG983062 KTB983062:KTC983062 LCX983062:LCY983062 LMT983062:LMU983062 LWP983062:LWQ983062 MGL983062:MGM983062 MQH983062:MQI983062 NAD983062:NAE983062 NJZ983062:NKA983062 NTV983062:NTW983062 ODR983062:ODS983062 ONN983062:ONO983062 OXJ983062:OXK983062 PHF983062:PHG983062 PRB983062:PRC983062 QAX983062:QAY983062 QKT983062:QKU983062 QUP983062:QUQ983062 REL983062:REM983062 ROH983062:ROI983062 RYD983062:RYE983062 SHZ983062:SIA983062 SRV983062:SRW983062 TBR983062:TBS983062 TLN983062:TLO983062 TVJ983062:TVK983062 UFF983062:UFG983062 UPB983062:UPC983062 UYX983062:UYY983062 VIT983062:VIU983062 VSP983062:VSQ983062 WCL983062:WCM983062 WMH983062:WMI983062 WWD983062:WWE983062 N20:O20 JJ20:JK20 TF20:TG20 ADB20:ADC20 AMX20:AMY20 AWT20:AWU20 BGP20:BGQ20 BQL20:BQM20 CAH20:CAI20 CKD20:CKE20 CTZ20:CUA20 DDV20:DDW20 DNR20:DNS20 DXN20:DXO20 EHJ20:EHK20 ERF20:ERG20 FBB20:FBC20 FKX20:FKY20 FUT20:FUU20 GEP20:GEQ20 GOL20:GOM20 GYH20:GYI20 HID20:HIE20 HRZ20:HSA20 IBV20:IBW20 ILR20:ILS20 IVN20:IVO20 JFJ20:JFK20 JPF20:JPG20 JZB20:JZC20 KIX20:KIY20 KST20:KSU20 LCP20:LCQ20 LML20:LMM20 LWH20:LWI20 MGD20:MGE20 MPZ20:MQA20 MZV20:MZW20 NJR20:NJS20 NTN20:NTO20 ODJ20:ODK20 ONF20:ONG20 OXB20:OXC20 PGX20:PGY20 PQT20:PQU20 QAP20:QAQ20 QKL20:QKM20 QUH20:QUI20 RED20:REE20 RNZ20:ROA20 RXV20:RXW20 SHR20:SHS20 SRN20:SRO20 TBJ20:TBK20 TLF20:TLG20 TVB20:TVC20 UEX20:UEY20 UOT20:UOU20 UYP20:UYQ20 VIL20:VIM20 VSH20:VSI20 WCD20:WCE20 WLZ20:WMA20 WVV20:WVW20 N65556:O65556 JJ65556:JK65556 TF65556:TG65556 ADB65556:ADC65556 AMX65556:AMY65556 AWT65556:AWU65556 BGP65556:BGQ65556 BQL65556:BQM65556 CAH65556:CAI65556 CKD65556:CKE65556 CTZ65556:CUA65556 DDV65556:DDW65556 DNR65556:DNS65556 DXN65556:DXO65556 EHJ65556:EHK65556 ERF65556:ERG65556 FBB65556:FBC65556 FKX65556:FKY65556 FUT65556:FUU65556 GEP65556:GEQ65556 GOL65556:GOM65556 GYH65556:GYI65556 HID65556:HIE65556 HRZ65556:HSA65556 IBV65556:IBW65556 ILR65556:ILS65556 IVN65556:IVO65556 JFJ65556:JFK65556 JPF65556:JPG65556 JZB65556:JZC65556 KIX65556:KIY65556 KST65556:KSU65556 LCP65556:LCQ65556 LML65556:LMM65556 LWH65556:LWI65556 MGD65556:MGE65556 MPZ65556:MQA65556 MZV65556:MZW65556 NJR65556:NJS65556 NTN65556:NTO65556 ODJ65556:ODK65556 ONF65556:ONG65556 OXB65556:OXC65556 PGX65556:PGY65556 PQT65556:PQU65556 QAP65556:QAQ65556 QKL65556:QKM65556 QUH65556:QUI65556 RED65556:REE65556 RNZ65556:ROA65556 RXV65556:RXW65556 SHR65556:SHS65556 SRN65556:SRO65556 TBJ65556:TBK65556 TLF65556:TLG65556 TVB65556:TVC65556 UEX65556:UEY65556 UOT65556:UOU65556 UYP65556:UYQ65556 VIL65556:VIM65556 VSH65556:VSI65556 WCD65556:WCE65556 WLZ65556:WMA65556 WVV65556:WVW65556 N131092:O131092 JJ131092:JK131092 TF131092:TG131092 ADB131092:ADC131092 AMX131092:AMY131092 AWT131092:AWU131092 BGP131092:BGQ131092 BQL131092:BQM131092 CAH131092:CAI131092 CKD131092:CKE131092 CTZ131092:CUA131092 DDV131092:DDW131092 DNR131092:DNS131092 DXN131092:DXO131092 EHJ131092:EHK131092 ERF131092:ERG131092 FBB131092:FBC131092 FKX131092:FKY131092 FUT131092:FUU131092 GEP131092:GEQ131092 GOL131092:GOM131092 GYH131092:GYI131092 HID131092:HIE131092 HRZ131092:HSA131092 IBV131092:IBW131092 ILR131092:ILS131092 IVN131092:IVO131092 JFJ131092:JFK131092 JPF131092:JPG131092 JZB131092:JZC131092 KIX131092:KIY131092 KST131092:KSU131092 LCP131092:LCQ131092 LML131092:LMM131092 LWH131092:LWI131092 MGD131092:MGE131092 MPZ131092:MQA131092 MZV131092:MZW131092 NJR131092:NJS131092 NTN131092:NTO131092 ODJ131092:ODK131092 ONF131092:ONG131092 OXB131092:OXC131092 PGX131092:PGY131092 PQT131092:PQU131092 QAP131092:QAQ131092 QKL131092:QKM131092 QUH131092:QUI131092 RED131092:REE131092 RNZ131092:ROA131092 RXV131092:RXW131092 SHR131092:SHS131092 SRN131092:SRO131092 TBJ131092:TBK131092 TLF131092:TLG131092 TVB131092:TVC131092 UEX131092:UEY131092 UOT131092:UOU131092 UYP131092:UYQ131092 VIL131092:VIM131092 VSH131092:VSI131092 WCD131092:WCE131092 WLZ131092:WMA131092 WVV131092:WVW131092 N196628:O196628 JJ196628:JK196628 TF196628:TG196628 ADB196628:ADC196628 AMX196628:AMY196628 AWT196628:AWU196628 BGP196628:BGQ196628 BQL196628:BQM196628 CAH196628:CAI196628 CKD196628:CKE196628 CTZ196628:CUA196628 DDV196628:DDW196628 DNR196628:DNS196628 DXN196628:DXO196628 EHJ196628:EHK196628 ERF196628:ERG196628 FBB196628:FBC196628 FKX196628:FKY196628 FUT196628:FUU196628 GEP196628:GEQ196628 GOL196628:GOM196628 GYH196628:GYI196628 HID196628:HIE196628 HRZ196628:HSA196628 IBV196628:IBW196628 ILR196628:ILS196628 IVN196628:IVO196628 JFJ196628:JFK196628 JPF196628:JPG196628 JZB196628:JZC196628 KIX196628:KIY196628 KST196628:KSU196628 LCP196628:LCQ196628 LML196628:LMM196628 LWH196628:LWI196628 MGD196628:MGE196628 MPZ196628:MQA196628 MZV196628:MZW196628 NJR196628:NJS196628 NTN196628:NTO196628 ODJ196628:ODK196628 ONF196628:ONG196628 OXB196628:OXC196628 PGX196628:PGY196628 PQT196628:PQU196628 QAP196628:QAQ196628 QKL196628:QKM196628 QUH196628:QUI196628 RED196628:REE196628 RNZ196628:ROA196628 RXV196628:RXW196628 SHR196628:SHS196628 SRN196628:SRO196628 TBJ196628:TBK196628 TLF196628:TLG196628 TVB196628:TVC196628 UEX196628:UEY196628 UOT196628:UOU196628 UYP196628:UYQ196628 VIL196628:VIM196628 VSH196628:VSI196628 WCD196628:WCE196628 WLZ196628:WMA196628 WVV196628:WVW196628 N262164:O262164 JJ262164:JK262164 TF262164:TG262164 ADB262164:ADC262164 AMX262164:AMY262164 AWT262164:AWU262164 BGP262164:BGQ262164 BQL262164:BQM262164 CAH262164:CAI262164 CKD262164:CKE262164 CTZ262164:CUA262164 DDV262164:DDW262164 DNR262164:DNS262164 DXN262164:DXO262164 EHJ262164:EHK262164 ERF262164:ERG262164 FBB262164:FBC262164 FKX262164:FKY262164 FUT262164:FUU262164 GEP262164:GEQ262164 GOL262164:GOM262164 GYH262164:GYI262164 HID262164:HIE262164 HRZ262164:HSA262164 IBV262164:IBW262164 ILR262164:ILS262164 IVN262164:IVO262164 JFJ262164:JFK262164 JPF262164:JPG262164 JZB262164:JZC262164 KIX262164:KIY262164 KST262164:KSU262164 LCP262164:LCQ262164 LML262164:LMM262164 LWH262164:LWI262164 MGD262164:MGE262164 MPZ262164:MQA262164 MZV262164:MZW262164 NJR262164:NJS262164 NTN262164:NTO262164 ODJ262164:ODK262164 ONF262164:ONG262164 OXB262164:OXC262164 PGX262164:PGY262164 PQT262164:PQU262164 QAP262164:QAQ262164 QKL262164:QKM262164 QUH262164:QUI262164 RED262164:REE262164 RNZ262164:ROA262164 RXV262164:RXW262164 SHR262164:SHS262164 SRN262164:SRO262164 TBJ262164:TBK262164 TLF262164:TLG262164 TVB262164:TVC262164 UEX262164:UEY262164 UOT262164:UOU262164 UYP262164:UYQ262164 VIL262164:VIM262164 VSH262164:VSI262164 WCD262164:WCE262164 WLZ262164:WMA262164 WVV262164:WVW262164 N327700:O327700 JJ327700:JK327700 TF327700:TG327700 ADB327700:ADC327700 AMX327700:AMY327700 AWT327700:AWU327700 BGP327700:BGQ327700 BQL327700:BQM327700 CAH327700:CAI327700 CKD327700:CKE327700 CTZ327700:CUA327700 DDV327700:DDW327700 DNR327700:DNS327700 DXN327700:DXO327700 EHJ327700:EHK327700 ERF327700:ERG327700 FBB327700:FBC327700 FKX327700:FKY327700 FUT327700:FUU327700 GEP327700:GEQ327700 GOL327700:GOM327700 GYH327700:GYI327700 HID327700:HIE327700 HRZ327700:HSA327700 IBV327700:IBW327700 ILR327700:ILS327700 IVN327700:IVO327700 JFJ327700:JFK327700 JPF327700:JPG327700 JZB327700:JZC327700 KIX327700:KIY327700 KST327700:KSU327700 LCP327700:LCQ327700 LML327700:LMM327700 LWH327700:LWI327700 MGD327700:MGE327700 MPZ327700:MQA327700 MZV327700:MZW327700 NJR327700:NJS327700 NTN327700:NTO327700 ODJ327700:ODK327700 ONF327700:ONG327700 OXB327700:OXC327700 PGX327700:PGY327700 PQT327700:PQU327700 QAP327700:QAQ327700 QKL327700:QKM327700 QUH327700:QUI327700 RED327700:REE327700 RNZ327700:ROA327700 RXV327700:RXW327700 SHR327700:SHS327700 SRN327700:SRO327700 TBJ327700:TBK327700 TLF327700:TLG327700 TVB327700:TVC327700 UEX327700:UEY327700 UOT327700:UOU327700 UYP327700:UYQ327700 VIL327700:VIM327700 VSH327700:VSI327700 WCD327700:WCE327700 WLZ327700:WMA327700 WVV327700:WVW327700 N393236:O393236 JJ393236:JK393236 TF393236:TG393236 ADB393236:ADC393236 AMX393236:AMY393236 AWT393236:AWU393236 BGP393236:BGQ393236 BQL393236:BQM393236 CAH393236:CAI393236 CKD393236:CKE393236 CTZ393236:CUA393236 DDV393236:DDW393236 DNR393236:DNS393236 DXN393236:DXO393236 EHJ393236:EHK393236 ERF393236:ERG393236 FBB393236:FBC393236 FKX393236:FKY393236 FUT393236:FUU393236 GEP393236:GEQ393236 GOL393236:GOM393236 GYH393236:GYI393236 HID393236:HIE393236 HRZ393236:HSA393236 IBV393236:IBW393236 ILR393236:ILS393236 IVN393236:IVO393236 JFJ393236:JFK393236 JPF393236:JPG393236 JZB393236:JZC393236 KIX393236:KIY393236 KST393236:KSU393236 LCP393236:LCQ393236 LML393236:LMM393236 LWH393236:LWI393236 MGD393236:MGE393236 MPZ393236:MQA393236 MZV393236:MZW393236 NJR393236:NJS393236 NTN393236:NTO393236 ODJ393236:ODK393236 ONF393236:ONG393236 OXB393236:OXC393236 PGX393236:PGY393236 PQT393236:PQU393236 QAP393236:QAQ393236 QKL393236:QKM393236 QUH393236:QUI393236 RED393236:REE393236 RNZ393236:ROA393236 RXV393236:RXW393236 SHR393236:SHS393236 SRN393236:SRO393236 TBJ393236:TBK393236 TLF393236:TLG393236 TVB393236:TVC393236 UEX393236:UEY393236 UOT393236:UOU393236 UYP393236:UYQ393236 VIL393236:VIM393236 VSH393236:VSI393236 WCD393236:WCE393236 WLZ393236:WMA393236 WVV393236:WVW393236 N458772:O458772 JJ458772:JK458772 TF458772:TG458772 ADB458772:ADC458772 AMX458772:AMY458772 AWT458772:AWU458772 BGP458772:BGQ458772 BQL458772:BQM458772 CAH458772:CAI458772 CKD458772:CKE458772 CTZ458772:CUA458772 DDV458772:DDW458772 DNR458772:DNS458772 DXN458772:DXO458772 EHJ458772:EHK458772 ERF458772:ERG458772 FBB458772:FBC458772 FKX458772:FKY458772 FUT458772:FUU458772 GEP458772:GEQ458772 GOL458772:GOM458772 GYH458772:GYI458772 HID458772:HIE458772 HRZ458772:HSA458772 IBV458772:IBW458772 ILR458772:ILS458772 IVN458772:IVO458772 JFJ458772:JFK458772 JPF458772:JPG458772 JZB458772:JZC458772 KIX458772:KIY458772 KST458772:KSU458772 LCP458772:LCQ458772 LML458772:LMM458772 LWH458772:LWI458772 MGD458772:MGE458772 MPZ458772:MQA458772 MZV458772:MZW458772 NJR458772:NJS458772 NTN458772:NTO458772 ODJ458772:ODK458772 ONF458772:ONG458772 OXB458772:OXC458772 PGX458772:PGY458772 PQT458772:PQU458772 QAP458772:QAQ458772 QKL458772:QKM458772 QUH458772:QUI458772 RED458772:REE458772 RNZ458772:ROA458772 RXV458772:RXW458772 SHR458772:SHS458772 SRN458772:SRO458772 TBJ458772:TBK458772 TLF458772:TLG458772 TVB458772:TVC458772 UEX458772:UEY458772 UOT458772:UOU458772 UYP458772:UYQ458772 VIL458772:VIM458772 VSH458772:VSI458772 WCD458772:WCE458772 WLZ458772:WMA458772 WVV458772:WVW458772 N524308:O524308 JJ524308:JK524308 TF524308:TG524308 ADB524308:ADC524308 AMX524308:AMY524308 AWT524308:AWU524308 BGP524308:BGQ524308 BQL524308:BQM524308 CAH524308:CAI524308 CKD524308:CKE524308 CTZ524308:CUA524308 DDV524308:DDW524308 DNR524308:DNS524308 DXN524308:DXO524308 EHJ524308:EHK524308 ERF524308:ERG524308 FBB524308:FBC524308 FKX524308:FKY524308 FUT524308:FUU524308 GEP524308:GEQ524308 GOL524308:GOM524308 GYH524308:GYI524308 HID524308:HIE524308 HRZ524308:HSA524308 IBV524308:IBW524308 ILR524308:ILS524308 IVN524308:IVO524308 JFJ524308:JFK524308 JPF524308:JPG524308 JZB524308:JZC524308 KIX524308:KIY524308 KST524308:KSU524308 LCP524308:LCQ524308 LML524308:LMM524308 LWH524308:LWI524308 MGD524308:MGE524308 MPZ524308:MQA524308 MZV524308:MZW524308 NJR524308:NJS524308 NTN524308:NTO524308 ODJ524308:ODK524308 ONF524308:ONG524308 OXB524308:OXC524308 PGX524308:PGY524308 PQT524308:PQU524308 QAP524308:QAQ524308 QKL524308:QKM524308 QUH524308:QUI524308 RED524308:REE524308 RNZ524308:ROA524308 RXV524308:RXW524308 SHR524308:SHS524308 SRN524308:SRO524308 TBJ524308:TBK524308 TLF524308:TLG524308 TVB524308:TVC524308 UEX524308:UEY524308 UOT524308:UOU524308 UYP524308:UYQ524308 VIL524308:VIM524308 VSH524308:VSI524308 WCD524308:WCE524308 WLZ524308:WMA524308 WVV524308:WVW524308 N589844:O589844 JJ589844:JK589844 TF589844:TG589844 ADB589844:ADC589844 AMX589844:AMY589844 AWT589844:AWU589844 BGP589844:BGQ589844 BQL589844:BQM589844 CAH589844:CAI589844 CKD589844:CKE589844 CTZ589844:CUA589844 DDV589844:DDW589844 DNR589844:DNS589844 DXN589844:DXO589844 EHJ589844:EHK589844 ERF589844:ERG589844 FBB589844:FBC589844 FKX589844:FKY589844 FUT589844:FUU589844 GEP589844:GEQ589844 GOL589844:GOM589844 GYH589844:GYI589844 HID589844:HIE589844 HRZ589844:HSA589844 IBV589844:IBW589844 ILR589844:ILS589844 IVN589844:IVO589844 JFJ589844:JFK589844 JPF589844:JPG589844 JZB589844:JZC589844 KIX589844:KIY589844 KST589844:KSU589844 LCP589844:LCQ589844 LML589844:LMM589844 LWH589844:LWI589844 MGD589844:MGE589844 MPZ589844:MQA589844 MZV589844:MZW589844 NJR589844:NJS589844 NTN589844:NTO589844 ODJ589844:ODK589844 ONF589844:ONG589844 OXB589844:OXC589844 PGX589844:PGY589844 PQT589844:PQU589844 QAP589844:QAQ589844 QKL589844:QKM589844 QUH589844:QUI589844 RED589844:REE589844 RNZ589844:ROA589844 RXV589844:RXW589844 SHR589844:SHS589844 SRN589844:SRO589844 TBJ589844:TBK589844 TLF589844:TLG589844 TVB589844:TVC589844 UEX589844:UEY589844 UOT589844:UOU589844 UYP589844:UYQ589844 VIL589844:VIM589844 VSH589844:VSI589844 WCD589844:WCE589844 WLZ589844:WMA589844 WVV589844:WVW589844 N655380:O655380 JJ655380:JK655380 TF655380:TG655380 ADB655380:ADC655380 AMX655380:AMY655380 AWT655380:AWU655380 BGP655380:BGQ655380 BQL655380:BQM655380 CAH655380:CAI655380 CKD655380:CKE655380 CTZ655380:CUA655380 DDV655380:DDW655380 DNR655380:DNS655380 DXN655380:DXO655380 EHJ655380:EHK655380 ERF655380:ERG655380 FBB655380:FBC655380 FKX655380:FKY655380 FUT655380:FUU655380 GEP655380:GEQ655380 GOL655380:GOM655380 GYH655380:GYI655380 HID655380:HIE655380 HRZ655380:HSA655380 IBV655380:IBW655380 ILR655380:ILS655380 IVN655380:IVO655380 JFJ655380:JFK655380 JPF655380:JPG655380 JZB655380:JZC655380 KIX655380:KIY655380 KST655380:KSU655380 LCP655380:LCQ655380 LML655380:LMM655380 LWH655380:LWI655380 MGD655380:MGE655380 MPZ655380:MQA655380 MZV655380:MZW655380 NJR655380:NJS655380 NTN655380:NTO655380 ODJ655380:ODK655380 ONF655380:ONG655380 OXB655380:OXC655380 PGX655380:PGY655380 PQT655380:PQU655380 QAP655380:QAQ655380 QKL655380:QKM655380 QUH655380:QUI655380 RED655380:REE655380 RNZ655380:ROA655380 RXV655380:RXW655380 SHR655380:SHS655380 SRN655380:SRO655380 TBJ655380:TBK655380 TLF655380:TLG655380 TVB655380:TVC655380 UEX655380:UEY655380 UOT655380:UOU655380 UYP655380:UYQ655380 VIL655380:VIM655380 VSH655380:VSI655380 WCD655380:WCE655380 WLZ655380:WMA655380 WVV655380:WVW655380 N720916:O720916 JJ720916:JK720916 TF720916:TG720916 ADB720916:ADC720916 AMX720916:AMY720916 AWT720916:AWU720916 BGP720916:BGQ720916 BQL720916:BQM720916 CAH720916:CAI720916 CKD720916:CKE720916 CTZ720916:CUA720916 DDV720916:DDW720916 DNR720916:DNS720916 DXN720916:DXO720916 EHJ720916:EHK720916 ERF720916:ERG720916 FBB720916:FBC720916 FKX720916:FKY720916 FUT720916:FUU720916 GEP720916:GEQ720916 GOL720916:GOM720916 GYH720916:GYI720916 HID720916:HIE720916 HRZ720916:HSA720916 IBV720916:IBW720916 ILR720916:ILS720916 IVN720916:IVO720916 JFJ720916:JFK720916 JPF720916:JPG720916 JZB720916:JZC720916 KIX720916:KIY720916 KST720916:KSU720916 LCP720916:LCQ720916 LML720916:LMM720916 LWH720916:LWI720916 MGD720916:MGE720916 MPZ720916:MQA720916 MZV720916:MZW720916 NJR720916:NJS720916 NTN720916:NTO720916 ODJ720916:ODK720916 ONF720916:ONG720916 OXB720916:OXC720916 PGX720916:PGY720916 PQT720916:PQU720916 QAP720916:QAQ720916 QKL720916:QKM720916 QUH720916:QUI720916 RED720916:REE720916 RNZ720916:ROA720916 RXV720916:RXW720916 SHR720916:SHS720916 SRN720916:SRO720916 TBJ720916:TBK720916 TLF720916:TLG720916 TVB720916:TVC720916 UEX720916:UEY720916 UOT720916:UOU720916 UYP720916:UYQ720916 VIL720916:VIM720916 VSH720916:VSI720916 WCD720916:WCE720916 WLZ720916:WMA720916 WVV720916:WVW720916 N786452:O786452 JJ786452:JK786452 TF786452:TG786452 ADB786452:ADC786452 AMX786452:AMY786452 AWT786452:AWU786452 BGP786452:BGQ786452 BQL786452:BQM786452 CAH786452:CAI786452 CKD786452:CKE786452 CTZ786452:CUA786452 DDV786452:DDW786452 DNR786452:DNS786452 DXN786452:DXO786452 EHJ786452:EHK786452 ERF786452:ERG786452 FBB786452:FBC786452 FKX786452:FKY786452 FUT786452:FUU786452 GEP786452:GEQ786452 GOL786452:GOM786452 GYH786452:GYI786452 HID786452:HIE786452 HRZ786452:HSA786452 IBV786452:IBW786452 ILR786452:ILS786452 IVN786452:IVO786452 JFJ786452:JFK786452 JPF786452:JPG786452 JZB786452:JZC786452 KIX786452:KIY786452 KST786452:KSU786452 LCP786452:LCQ786452 LML786452:LMM786452 LWH786452:LWI786452 MGD786452:MGE786452 MPZ786452:MQA786452 MZV786452:MZW786452 NJR786452:NJS786452 NTN786452:NTO786452 ODJ786452:ODK786452 ONF786452:ONG786452 OXB786452:OXC786452 PGX786452:PGY786452 PQT786452:PQU786452 QAP786452:QAQ786452 QKL786452:QKM786452 QUH786452:QUI786452 RED786452:REE786452 RNZ786452:ROA786452 RXV786452:RXW786452 SHR786452:SHS786452 SRN786452:SRO786452 TBJ786452:TBK786452 TLF786452:TLG786452 TVB786452:TVC786452 UEX786452:UEY786452 UOT786452:UOU786452 UYP786452:UYQ786452 VIL786452:VIM786452 VSH786452:VSI786452 WCD786452:WCE786452 WLZ786452:WMA786452 WVV786452:WVW786452 N851988:O851988 JJ851988:JK851988 TF851988:TG851988 ADB851988:ADC851988 AMX851988:AMY851988 AWT851988:AWU851988 BGP851988:BGQ851988 BQL851988:BQM851988 CAH851988:CAI851988 CKD851988:CKE851988 CTZ851988:CUA851988 DDV851988:DDW851988 DNR851988:DNS851988 DXN851988:DXO851988 EHJ851988:EHK851988 ERF851988:ERG851988 FBB851988:FBC851988 FKX851988:FKY851988 FUT851988:FUU851988 GEP851988:GEQ851988 GOL851988:GOM851988 GYH851988:GYI851988 HID851988:HIE851988 HRZ851988:HSA851988 IBV851988:IBW851988 ILR851988:ILS851988 IVN851988:IVO851988 JFJ851988:JFK851988 JPF851988:JPG851988 JZB851988:JZC851988 KIX851988:KIY851988 KST851988:KSU851988 LCP851988:LCQ851988 LML851988:LMM851988 LWH851988:LWI851988 MGD851988:MGE851988 MPZ851988:MQA851988 MZV851988:MZW851988 NJR851988:NJS851988 NTN851988:NTO851988 ODJ851988:ODK851988 ONF851988:ONG851988 OXB851988:OXC851988 PGX851988:PGY851988 PQT851988:PQU851988 QAP851988:QAQ851988 QKL851988:QKM851988 QUH851988:QUI851988 RED851988:REE851988 RNZ851988:ROA851988 RXV851988:RXW851988 SHR851988:SHS851988 SRN851988:SRO851988 TBJ851988:TBK851988 TLF851988:TLG851988 TVB851988:TVC851988 UEX851988:UEY851988 UOT851988:UOU851988 UYP851988:UYQ851988 VIL851988:VIM851988 VSH851988:VSI851988 WCD851988:WCE851988 WLZ851988:WMA851988 WVV851988:WVW851988 N917524:O917524 JJ917524:JK917524 TF917524:TG917524 ADB917524:ADC917524 AMX917524:AMY917524 AWT917524:AWU917524 BGP917524:BGQ917524 BQL917524:BQM917524 CAH917524:CAI917524 CKD917524:CKE917524 CTZ917524:CUA917524 DDV917524:DDW917524 DNR917524:DNS917524 DXN917524:DXO917524 EHJ917524:EHK917524 ERF917524:ERG917524 FBB917524:FBC917524 FKX917524:FKY917524 FUT917524:FUU917524 GEP917524:GEQ917524 GOL917524:GOM917524 GYH917524:GYI917524 HID917524:HIE917524 HRZ917524:HSA917524 IBV917524:IBW917524 ILR917524:ILS917524 IVN917524:IVO917524 JFJ917524:JFK917524 JPF917524:JPG917524 JZB917524:JZC917524 KIX917524:KIY917524 KST917524:KSU917524 LCP917524:LCQ917524 LML917524:LMM917524 LWH917524:LWI917524 MGD917524:MGE917524 MPZ917524:MQA917524 MZV917524:MZW917524 NJR917524:NJS917524 NTN917524:NTO917524 ODJ917524:ODK917524 ONF917524:ONG917524 OXB917524:OXC917524 PGX917524:PGY917524 PQT917524:PQU917524 QAP917524:QAQ917524 QKL917524:QKM917524 QUH917524:QUI917524 RED917524:REE917524 RNZ917524:ROA917524 RXV917524:RXW917524 SHR917524:SHS917524 SRN917524:SRO917524 TBJ917524:TBK917524 TLF917524:TLG917524 TVB917524:TVC917524 UEX917524:UEY917524 UOT917524:UOU917524 UYP917524:UYQ917524 VIL917524:VIM917524 VSH917524:VSI917524 WCD917524:WCE917524 WLZ917524:WMA917524 WVV917524:WVW917524 N983060:O983060 JJ983060:JK983060 TF983060:TG983060 ADB983060:ADC983060 AMX983060:AMY983060 AWT983060:AWU983060 BGP983060:BGQ983060 BQL983060:BQM983060 CAH983060:CAI983060 CKD983060:CKE983060 CTZ983060:CUA983060 DDV983060:DDW983060 DNR983060:DNS983060 DXN983060:DXO983060 EHJ983060:EHK983060 ERF983060:ERG983060 FBB983060:FBC983060 FKX983060:FKY983060 FUT983060:FUU983060 GEP983060:GEQ983060 GOL983060:GOM983060 GYH983060:GYI983060 HID983060:HIE983060 HRZ983060:HSA983060 IBV983060:IBW983060 ILR983060:ILS983060 IVN983060:IVO983060 JFJ983060:JFK983060 JPF983060:JPG983060 JZB983060:JZC983060 KIX983060:KIY983060 KST983060:KSU983060 LCP983060:LCQ983060 LML983060:LMM983060 LWH983060:LWI983060 MGD983060:MGE983060 MPZ983060:MQA983060 MZV983060:MZW983060 NJR983060:NJS983060 NTN983060:NTO983060 ODJ983060:ODK983060 ONF983060:ONG983060 OXB983060:OXC983060 PGX983060:PGY983060 PQT983060:PQU983060 QAP983060:QAQ983060 QKL983060:QKM983060 QUH983060:QUI983060 RED983060:REE983060 RNZ983060:ROA983060 RXV983060:RXW983060 SHR983060:SHS983060 SRN983060:SRO983060 TBJ983060:TBK983060 TLF983060:TLG983060 TVB983060:TVC983060 UEX983060:UEY983060 UOT983060:UOU983060 UYP983060:UYQ983060 VIL983060:VIM983060 VSH983060:VSI983060 WCD983060:WCE983060 WLZ983060:WMA983060 WVV983060:WVW983060 K6:M6 JG6:JI6 TC6:TE6 ACY6:ADA6 AMU6:AMW6 AWQ6:AWS6 BGM6:BGO6 BQI6:BQK6 CAE6:CAG6 CKA6:CKC6 CTW6:CTY6 DDS6:DDU6 DNO6:DNQ6 DXK6:DXM6 EHG6:EHI6 ERC6:ERE6 FAY6:FBA6 FKU6:FKW6 FUQ6:FUS6 GEM6:GEO6 GOI6:GOK6 GYE6:GYG6 HIA6:HIC6 HRW6:HRY6 IBS6:IBU6 ILO6:ILQ6 IVK6:IVM6 JFG6:JFI6 JPC6:JPE6 JYY6:JZA6 KIU6:KIW6 KSQ6:KSS6 LCM6:LCO6 LMI6:LMK6 LWE6:LWG6 MGA6:MGC6 MPW6:MPY6 MZS6:MZU6 NJO6:NJQ6 NTK6:NTM6 ODG6:ODI6 ONC6:ONE6 OWY6:OXA6 PGU6:PGW6 PQQ6:PQS6 QAM6:QAO6 QKI6:QKK6 QUE6:QUG6 REA6:REC6 RNW6:RNY6 RXS6:RXU6 SHO6:SHQ6 SRK6:SRM6 TBG6:TBI6 TLC6:TLE6 TUY6:TVA6 UEU6:UEW6 UOQ6:UOS6 UYM6:UYO6 VII6:VIK6 VSE6:VSG6 WCA6:WCC6 WLW6:WLY6 WVS6:WVU6 K65542:M65542 JG65542:JI65542 TC65542:TE65542 ACY65542:ADA65542 AMU65542:AMW65542 AWQ65542:AWS65542 BGM65542:BGO65542 BQI65542:BQK65542 CAE65542:CAG65542 CKA65542:CKC65542 CTW65542:CTY65542 DDS65542:DDU65542 DNO65542:DNQ65542 DXK65542:DXM65542 EHG65542:EHI65542 ERC65542:ERE65542 FAY65542:FBA65542 FKU65542:FKW65542 FUQ65542:FUS65542 GEM65542:GEO65542 GOI65542:GOK65542 GYE65542:GYG65542 HIA65542:HIC65542 HRW65542:HRY65542 IBS65542:IBU65542 ILO65542:ILQ65542 IVK65542:IVM65542 JFG65542:JFI65542 JPC65542:JPE65542 JYY65542:JZA65542 KIU65542:KIW65542 KSQ65542:KSS65542 LCM65542:LCO65542 LMI65542:LMK65542 LWE65542:LWG65542 MGA65542:MGC65542 MPW65542:MPY65542 MZS65542:MZU65542 NJO65542:NJQ65542 NTK65542:NTM65542 ODG65542:ODI65542 ONC65542:ONE65542 OWY65542:OXA65542 PGU65542:PGW65542 PQQ65542:PQS65542 QAM65542:QAO65542 QKI65542:QKK65542 QUE65542:QUG65542 REA65542:REC65542 RNW65542:RNY65542 RXS65542:RXU65542 SHO65542:SHQ65542 SRK65542:SRM65542 TBG65542:TBI65542 TLC65542:TLE65542 TUY65542:TVA65542 UEU65542:UEW65542 UOQ65542:UOS65542 UYM65542:UYO65542 VII65542:VIK65542 VSE65542:VSG65542 WCA65542:WCC65542 WLW65542:WLY65542 WVS65542:WVU65542 K131078:M131078 JG131078:JI131078 TC131078:TE131078 ACY131078:ADA131078 AMU131078:AMW131078 AWQ131078:AWS131078 BGM131078:BGO131078 BQI131078:BQK131078 CAE131078:CAG131078 CKA131078:CKC131078 CTW131078:CTY131078 DDS131078:DDU131078 DNO131078:DNQ131078 DXK131078:DXM131078 EHG131078:EHI131078 ERC131078:ERE131078 FAY131078:FBA131078 FKU131078:FKW131078 FUQ131078:FUS131078 GEM131078:GEO131078 GOI131078:GOK131078 GYE131078:GYG131078 HIA131078:HIC131078 HRW131078:HRY131078 IBS131078:IBU131078 ILO131078:ILQ131078 IVK131078:IVM131078 JFG131078:JFI131078 JPC131078:JPE131078 JYY131078:JZA131078 KIU131078:KIW131078 KSQ131078:KSS131078 LCM131078:LCO131078 LMI131078:LMK131078 LWE131078:LWG131078 MGA131078:MGC131078 MPW131078:MPY131078 MZS131078:MZU131078 NJO131078:NJQ131078 NTK131078:NTM131078 ODG131078:ODI131078 ONC131078:ONE131078 OWY131078:OXA131078 PGU131078:PGW131078 PQQ131078:PQS131078 QAM131078:QAO131078 QKI131078:QKK131078 QUE131078:QUG131078 REA131078:REC131078 RNW131078:RNY131078 RXS131078:RXU131078 SHO131078:SHQ131078 SRK131078:SRM131078 TBG131078:TBI131078 TLC131078:TLE131078 TUY131078:TVA131078 UEU131078:UEW131078 UOQ131078:UOS131078 UYM131078:UYO131078 VII131078:VIK131078 VSE131078:VSG131078 WCA131078:WCC131078 WLW131078:WLY131078 WVS131078:WVU131078 K196614:M196614 JG196614:JI196614 TC196614:TE196614 ACY196614:ADA196614 AMU196614:AMW196614 AWQ196614:AWS196614 BGM196614:BGO196614 BQI196614:BQK196614 CAE196614:CAG196614 CKA196614:CKC196614 CTW196614:CTY196614 DDS196614:DDU196614 DNO196614:DNQ196614 DXK196614:DXM196614 EHG196614:EHI196614 ERC196614:ERE196614 FAY196614:FBA196614 FKU196614:FKW196614 FUQ196614:FUS196614 GEM196614:GEO196614 GOI196614:GOK196614 GYE196614:GYG196614 HIA196614:HIC196614 HRW196614:HRY196614 IBS196614:IBU196614 ILO196614:ILQ196614 IVK196614:IVM196614 JFG196614:JFI196614 JPC196614:JPE196614 JYY196614:JZA196614 KIU196614:KIW196614 KSQ196614:KSS196614 LCM196614:LCO196614 LMI196614:LMK196614 LWE196614:LWG196614 MGA196614:MGC196614 MPW196614:MPY196614 MZS196614:MZU196614 NJO196614:NJQ196614 NTK196614:NTM196614 ODG196614:ODI196614 ONC196614:ONE196614 OWY196614:OXA196614 PGU196614:PGW196614 PQQ196614:PQS196614 QAM196614:QAO196614 QKI196614:QKK196614 QUE196614:QUG196614 REA196614:REC196614 RNW196614:RNY196614 RXS196614:RXU196614 SHO196614:SHQ196614 SRK196614:SRM196614 TBG196614:TBI196614 TLC196614:TLE196614 TUY196614:TVA196614 UEU196614:UEW196614 UOQ196614:UOS196614 UYM196614:UYO196614 VII196614:VIK196614 VSE196614:VSG196614 WCA196614:WCC196614 WLW196614:WLY196614 WVS196614:WVU196614 K262150:M262150 JG262150:JI262150 TC262150:TE262150 ACY262150:ADA262150 AMU262150:AMW262150 AWQ262150:AWS262150 BGM262150:BGO262150 BQI262150:BQK262150 CAE262150:CAG262150 CKA262150:CKC262150 CTW262150:CTY262150 DDS262150:DDU262150 DNO262150:DNQ262150 DXK262150:DXM262150 EHG262150:EHI262150 ERC262150:ERE262150 FAY262150:FBA262150 FKU262150:FKW262150 FUQ262150:FUS262150 GEM262150:GEO262150 GOI262150:GOK262150 GYE262150:GYG262150 HIA262150:HIC262150 HRW262150:HRY262150 IBS262150:IBU262150 ILO262150:ILQ262150 IVK262150:IVM262150 JFG262150:JFI262150 JPC262150:JPE262150 JYY262150:JZA262150 KIU262150:KIW262150 KSQ262150:KSS262150 LCM262150:LCO262150 LMI262150:LMK262150 LWE262150:LWG262150 MGA262150:MGC262150 MPW262150:MPY262150 MZS262150:MZU262150 NJO262150:NJQ262150 NTK262150:NTM262150 ODG262150:ODI262150 ONC262150:ONE262150 OWY262150:OXA262150 PGU262150:PGW262150 PQQ262150:PQS262150 QAM262150:QAO262150 QKI262150:QKK262150 QUE262150:QUG262150 REA262150:REC262150 RNW262150:RNY262150 RXS262150:RXU262150 SHO262150:SHQ262150 SRK262150:SRM262150 TBG262150:TBI262150 TLC262150:TLE262150 TUY262150:TVA262150 UEU262150:UEW262150 UOQ262150:UOS262150 UYM262150:UYO262150 VII262150:VIK262150 VSE262150:VSG262150 WCA262150:WCC262150 WLW262150:WLY262150 WVS262150:WVU262150 K327686:M327686 JG327686:JI327686 TC327686:TE327686 ACY327686:ADA327686 AMU327686:AMW327686 AWQ327686:AWS327686 BGM327686:BGO327686 BQI327686:BQK327686 CAE327686:CAG327686 CKA327686:CKC327686 CTW327686:CTY327686 DDS327686:DDU327686 DNO327686:DNQ327686 DXK327686:DXM327686 EHG327686:EHI327686 ERC327686:ERE327686 FAY327686:FBA327686 FKU327686:FKW327686 FUQ327686:FUS327686 GEM327686:GEO327686 GOI327686:GOK327686 GYE327686:GYG327686 HIA327686:HIC327686 HRW327686:HRY327686 IBS327686:IBU327686 ILO327686:ILQ327686 IVK327686:IVM327686 JFG327686:JFI327686 JPC327686:JPE327686 JYY327686:JZA327686 KIU327686:KIW327686 KSQ327686:KSS327686 LCM327686:LCO327686 LMI327686:LMK327686 LWE327686:LWG327686 MGA327686:MGC327686 MPW327686:MPY327686 MZS327686:MZU327686 NJO327686:NJQ327686 NTK327686:NTM327686 ODG327686:ODI327686 ONC327686:ONE327686 OWY327686:OXA327686 PGU327686:PGW327686 PQQ327686:PQS327686 QAM327686:QAO327686 QKI327686:QKK327686 QUE327686:QUG327686 REA327686:REC327686 RNW327686:RNY327686 RXS327686:RXU327686 SHO327686:SHQ327686 SRK327686:SRM327686 TBG327686:TBI327686 TLC327686:TLE327686 TUY327686:TVA327686 UEU327686:UEW327686 UOQ327686:UOS327686 UYM327686:UYO327686 VII327686:VIK327686 VSE327686:VSG327686 WCA327686:WCC327686 WLW327686:WLY327686 WVS327686:WVU327686 K393222:M393222 JG393222:JI393222 TC393222:TE393222 ACY393222:ADA393222 AMU393222:AMW393222 AWQ393222:AWS393222 BGM393222:BGO393222 BQI393222:BQK393222 CAE393222:CAG393222 CKA393222:CKC393222 CTW393222:CTY393222 DDS393222:DDU393222 DNO393222:DNQ393222 DXK393222:DXM393222 EHG393222:EHI393222 ERC393222:ERE393222 FAY393222:FBA393222 FKU393222:FKW393222 FUQ393222:FUS393222 GEM393222:GEO393222 GOI393222:GOK393222 GYE393222:GYG393222 HIA393222:HIC393222 HRW393222:HRY393222 IBS393222:IBU393222 ILO393222:ILQ393222 IVK393222:IVM393222 JFG393222:JFI393222 JPC393222:JPE393222 JYY393222:JZA393222 KIU393222:KIW393222 KSQ393222:KSS393222 LCM393222:LCO393222 LMI393222:LMK393222 LWE393222:LWG393222 MGA393222:MGC393222 MPW393222:MPY393222 MZS393222:MZU393222 NJO393222:NJQ393222 NTK393222:NTM393222 ODG393222:ODI393222 ONC393222:ONE393222 OWY393222:OXA393222 PGU393222:PGW393222 PQQ393222:PQS393222 QAM393222:QAO393222 QKI393222:QKK393222 QUE393222:QUG393222 REA393222:REC393222 RNW393222:RNY393222 RXS393222:RXU393222 SHO393222:SHQ393222 SRK393222:SRM393222 TBG393222:TBI393222 TLC393222:TLE393222 TUY393222:TVA393222 UEU393222:UEW393222 UOQ393222:UOS393222 UYM393222:UYO393222 VII393222:VIK393222 VSE393222:VSG393222 WCA393222:WCC393222 WLW393222:WLY393222 WVS393222:WVU393222 K458758:M458758 JG458758:JI458758 TC458758:TE458758 ACY458758:ADA458758 AMU458758:AMW458758 AWQ458758:AWS458758 BGM458758:BGO458758 BQI458758:BQK458758 CAE458758:CAG458758 CKA458758:CKC458758 CTW458758:CTY458758 DDS458758:DDU458758 DNO458758:DNQ458758 DXK458758:DXM458758 EHG458758:EHI458758 ERC458758:ERE458758 FAY458758:FBA458758 FKU458758:FKW458758 FUQ458758:FUS458758 GEM458758:GEO458758 GOI458758:GOK458758 GYE458758:GYG458758 HIA458758:HIC458758 HRW458758:HRY458758 IBS458758:IBU458758 ILO458758:ILQ458758 IVK458758:IVM458758 JFG458758:JFI458758 JPC458758:JPE458758 JYY458758:JZA458758 KIU458758:KIW458758 KSQ458758:KSS458758 LCM458758:LCO458758 LMI458758:LMK458758 LWE458758:LWG458758 MGA458758:MGC458758 MPW458758:MPY458758 MZS458758:MZU458758 NJO458758:NJQ458758 NTK458758:NTM458758 ODG458758:ODI458758 ONC458758:ONE458758 OWY458758:OXA458758 PGU458758:PGW458758 PQQ458758:PQS458758 QAM458758:QAO458758 QKI458758:QKK458758 QUE458758:QUG458758 REA458758:REC458758 RNW458758:RNY458758 RXS458758:RXU458758 SHO458758:SHQ458758 SRK458758:SRM458758 TBG458758:TBI458758 TLC458758:TLE458758 TUY458758:TVA458758 UEU458758:UEW458758 UOQ458758:UOS458758 UYM458758:UYO458758 VII458758:VIK458758 VSE458758:VSG458758 WCA458758:WCC458758 WLW458758:WLY458758 WVS458758:WVU458758 K524294:M524294 JG524294:JI524294 TC524294:TE524294 ACY524294:ADA524294 AMU524294:AMW524294 AWQ524294:AWS524294 BGM524294:BGO524294 BQI524294:BQK524294 CAE524294:CAG524294 CKA524294:CKC524294 CTW524294:CTY524294 DDS524294:DDU524294 DNO524294:DNQ524294 DXK524294:DXM524294 EHG524294:EHI524294 ERC524294:ERE524294 FAY524294:FBA524294 FKU524294:FKW524294 FUQ524294:FUS524294 GEM524294:GEO524294 GOI524294:GOK524294 GYE524294:GYG524294 HIA524294:HIC524294 HRW524294:HRY524294 IBS524294:IBU524294 ILO524294:ILQ524294 IVK524294:IVM524294 JFG524294:JFI524294 JPC524294:JPE524294 JYY524294:JZA524294 KIU524294:KIW524294 KSQ524294:KSS524294 LCM524294:LCO524294 LMI524294:LMK524294 LWE524294:LWG524294 MGA524294:MGC524294 MPW524294:MPY524294 MZS524294:MZU524294 NJO524294:NJQ524294 NTK524294:NTM524294 ODG524294:ODI524294 ONC524294:ONE524294 OWY524294:OXA524294 PGU524294:PGW524294 PQQ524294:PQS524294 QAM524294:QAO524294 QKI524294:QKK524294 QUE524294:QUG524294 REA524294:REC524294 RNW524294:RNY524294 RXS524294:RXU524294 SHO524294:SHQ524294 SRK524294:SRM524294 TBG524294:TBI524294 TLC524294:TLE524294 TUY524294:TVA524294 UEU524294:UEW524294 UOQ524294:UOS524294 UYM524294:UYO524294 VII524294:VIK524294 VSE524294:VSG524294 WCA524294:WCC524294 WLW524294:WLY524294 WVS524294:WVU524294 K589830:M589830 JG589830:JI589830 TC589830:TE589830 ACY589830:ADA589830 AMU589830:AMW589830 AWQ589830:AWS589830 BGM589830:BGO589830 BQI589830:BQK589830 CAE589830:CAG589830 CKA589830:CKC589830 CTW589830:CTY589830 DDS589830:DDU589830 DNO589830:DNQ589830 DXK589830:DXM589830 EHG589830:EHI589830 ERC589830:ERE589830 FAY589830:FBA589830 FKU589830:FKW589830 FUQ589830:FUS589830 GEM589830:GEO589830 GOI589830:GOK589830 GYE589830:GYG589830 HIA589830:HIC589830 HRW589830:HRY589830 IBS589830:IBU589830 ILO589830:ILQ589830 IVK589830:IVM589830 JFG589830:JFI589830 JPC589830:JPE589830 JYY589830:JZA589830 KIU589830:KIW589830 KSQ589830:KSS589830 LCM589830:LCO589830 LMI589830:LMK589830 LWE589830:LWG589830 MGA589830:MGC589830 MPW589830:MPY589830 MZS589830:MZU589830 NJO589830:NJQ589830 NTK589830:NTM589830 ODG589830:ODI589830 ONC589830:ONE589830 OWY589830:OXA589830 PGU589830:PGW589830 PQQ589830:PQS589830 QAM589830:QAO589830 QKI589830:QKK589830 QUE589830:QUG589830 REA589830:REC589830 RNW589830:RNY589830 RXS589830:RXU589830 SHO589830:SHQ589830 SRK589830:SRM589830 TBG589830:TBI589830 TLC589830:TLE589830 TUY589830:TVA589830 UEU589830:UEW589830 UOQ589830:UOS589830 UYM589830:UYO589830 VII589830:VIK589830 VSE589830:VSG589830 WCA589830:WCC589830 WLW589830:WLY589830 WVS589830:WVU589830 K655366:M655366 JG655366:JI655366 TC655366:TE655366 ACY655366:ADA655366 AMU655366:AMW655366 AWQ655366:AWS655366 BGM655366:BGO655366 BQI655366:BQK655366 CAE655366:CAG655366 CKA655366:CKC655366 CTW655366:CTY655366 DDS655366:DDU655366 DNO655366:DNQ655366 DXK655366:DXM655366 EHG655366:EHI655366 ERC655366:ERE655366 FAY655366:FBA655366 FKU655366:FKW655366 FUQ655366:FUS655366 GEM655366:GEO655366 GOI655366:GOK655366 GYE655366:GYG655366 HIA655366:HIC655366 HRW655366:HRY655366 IBS655366:IBU655366 ILO655366:ILQ655366 IVK655366:IVM655366 JFG655366:JFI655366 JPC655366:JPE655366 JYY655366:JZA655366 KIU655366:KIW655366 KSQ655366:KSS655366 LCM655366:LCO655366 LMI655366:LMK655366 LWE655366:LWG655366 MGA655366:MGC655366 MPW655366:MPY655366 MZS655366:MZU655366 NJO655366:NJQ655366 NTK655366:NTM655366 ODG655366:ODI655366 ONC655366:ONE655366 OWY655366:OXA655366 PGU655366:PGW655366 PQQ655366:PQS655366 QAM655366:QAO655366 QKI655366:QKK655366 QUE655366:QUG655366 REA655366:REC655366 RNW655366:RNY655366 RXS655366:RXU655366 SHO655366:SHQ655366 SRK655366:SRM655366 TBG655366:TBI655366 TLC655366:TLE655366 TUY655366:TVA655366 UEU655366:UEW655366 UOQ655366:UOS655366 UYM655366:UYO655366 VII655366:VIK655366 VSE655366:VSG655366 WCA655366:WCC655366 WLW655366:WLY655366 WVS655366:WVU655366 K720902:M720902 JG720902:JI720902 TC720902:TE720902 ACY720902:ADA720902 AMU720902:AMW720902 AWQ720902:AWS720902 BGM720902:BGO720902 BQI720902:BQK720902 CAE720902:CAG720902 CKA720902:CKC720902 CTW720902:CTY720902 DDS720902:DDU720902 DNO720902:DNQ720902 DXK720902:DXM720902 EHG720902:EHI720902 ERC720902:ERE720902 FAY720902:FBA720902 FKU720902:FKW720902 FUQ720902:FUS720902 GEM720902:GEO720902 GOI720902:GOK720902 GYE720902:GYG720902 HIA720902:HIC720902 HRW720902:HRY720902 IBS720902:IBU720902 ILO720902:ILQ720902 IVK720902:IVM720902 JFG720902:JFI720902 JPC720902:JPE720902 JYY720902:JZA720902 KIU720902:KIW720902 KSQ720902:KSS720902 LCM720902:LCO720902 LMI720902:LMK720902 LWE720902:LWG720902 MGA720902:MGC720902 MPW720902:MPY720902 MZS720902:MZU720902 NJO720902:NJQ720902 NTK720902:NTM720902 ODG720902:ODI720902 ONC720902:ONE720902 OWY720902:OXA720902 PGU720902:PGW720902 PQQ720902:PQS720902 QAM720902:QAO720902 QKI720902:QKK720902 QUE720902:QUG720902 REA720902:REC720902 RNW720902:RNY720902 RXS720902:RXU720902 SHO720902:SHQ720902 SRK720902:SRM720902 TBG720902:TBI720902 TLC720902:TLE720902 TUY720902:TVA720902 UEU720902:UEW720902 UOQ720902:UOS720902 UYM720902:UYO720902 VII720902:VIK720902 VSE720902:VSG720902 WCA720902:WCC720902 WLW720902:WLY720902 WVS720902:WVU720902 K786438:M786438 JG786438:JI786438 TC786438:TE786438 ACY786438:ADA786438 AMU786438:AMW786438 AWQ786438:AWS786438 BGM786438:BGO786438 BQI786438:BQK786438 CAE786438:CAG786438 CKA786438:CKC786438 CTW786438:CTY786438 DDS786438:DDU786438 DNO786438:DNQ786438 DXK786438:DXM786438 EHG786438:EHI786438 ERC786438:ERE786438 FAY786438:FBA786438 FKU786438:FKW786438 FUQ786438:FUS786438 GEM786438:GEO786438 GOI786438:GOK786438 GYE786438:GYG786438 HIA786438:HIC786438 HRW786438:HRY786438 IBS786438:IBU786438 ILO786438:ILQ786438 IVK786438:IVM786438 JFG786438:JFI786438 JPC786438:JPE786438 JYY786438:JZA786438 KIU786438:KIW786438 KSQ786438:KSS786438 LCM786438:LCO786438 LMI786438:LMK786438 LWE786438:LWG786438 MGA786438:MGC786438 MPW786438:MPY786438 MZS786438:MZU786438 NJO786438:NJQ786438 NTK786438:NTM786438 ODG786438:ODI786438 ONC786438:ONE786438 OWY786438:OXA786438 PGU786438:PGW786438 PQQ786438:PQS786438 QAM786438:QAO786438 QKI786438:QKK786438 QUE786438:QUG786438 REA786438:REC786438 RNW786438:RNY786438 RXS786438:RXU786438 SHO786438:SHQ786438 SRK786438:SRM786438 TBG786438:TBI786438 TLC786438:TLE786438 TUY786438:TVA786438 UEU786438:UEW786438 UOQ786438:UOS786438 UYM786438:UYO786438 VII786438:VIK786438 VSE786438:VSG786438 WCA786438:WCC786438 WLW786438:WLY786438 WVS786438:WVU786438 K851974:M851974 JG851974:JI851974 TC851974:TE851974 ACY851974:ADA851974 AMU851974:AMW851974 AWQ851974:AWS851974 BGM851974:BGO851974 BQI851974:BQK851974 CAE851974:CAG851974 CKA851974:CKC851974 CTW851974:CTY851974 DDS851974:DDU851974 DNO851974:DNQ851974 DXK851974:DXM851974 EHG851974:EHI851974 ERC851974:ERE851974 FAY851974:FBA851974 FKU851974:FKW851974 FUQ851974:FUS851974 GEM851974:GEO851974 GOI851974:GOK851974 GYE851974:GYG851974 HIA851974:HIC851974 HRW851974:HRY851974 IBS851974:IBU851974 ILO851974:ILQ851974 IVK851974:IVM851974 JFG851974:JFI851974 JPC851974:JPE851974 JYY851974:JZA851974 KIU851974:KIW851974 KSQ851974:KSS851974 LCM851974:LCO851974 LMI851974:LMK851974 LWE851974:LWG851974 MGA851974:MGC851974 MPW851974:MPY851974 MZS851974:MZU851974 NJO851974:NJQ851974 NTK851974:NTM851974 ODG851974:ODI851974 ONC851974:ONE851974 OWY851974:OXA851974 PGU851974:PGW851974 PQQ851974:PQS851974 QAM851974:QAO851974 QKI851974:QKK851974 QUE851974:QUG851974 REA851974:REC851974 RNW851974:RNY851974 RXS851974:RXU851974 SHO851974:SHQ851974 SRK851974:SRM851974 TBG851974:TBI851974 TLC851974:TLE851974 TUY851974:TVA851974 UEU851974:UEW851974 UOQ851974:UOS851974 UYM851974:UYO851974 VII851974:VIK851974 VSE851974:VSG851974 WCA851974:WCC851974 WLW851974:WLY851974 WVS851974:WVU851974 K917510:M917510 JG917510:JI917510 TC917510:TE917510 ACY917510:ADA917510 AMU917510:AMW917510 AWQ917510:AWS917510 BGM917510:BGO917510 BQI917510:BQK917510 CAE917510:CAG917510 CKA917510:CKC917510 CTW917510:CTY917510 DDS917510:DDU917510 DNO917510:DNQ917510 DXK917510:DXM917510 EHG917510:EHI917510 ERC917510:ERE917510 FAY917510:FBA917510 FKU917510:FKW917510 FUQ917510:FUS917510 GEM917510:GEO917510 GOI917510:GOK917510 GYE917510:GYG917510 HIA917510:HIC917510 HRW917510:HRY917510 IBS917510:IBU917510 ILO917510:ILQ917510 IVK917510:IVM917510 JFG917510:JFI917510 JPC917510:JPE917510 JYY917510:JZA917510 KIU917510:KIW917510 KSQ917510:KSS917510 LCM917510:LCO917510 LMI917510:LMK917510 LWE917510:LWG917510 MGA917510:MGC917510 MPW917510:MPY917510 MZS917510:MZU917510 NJO917510:NJQ917510 NTK917510:NTM917510 ODG917510:ODI917510 ONC917510:ONE917510 OWY917510:OXA917510 PGU917510:PGW917510 PQQ917510:PQS917510 QAM917510:QAO917510 QKI917510:QKK917510 QUE917510:QUG917510 REA917510:REC917510 RNW917510:RNY917510 RXS917510:RXU917510 SHO917510:SHQ917510 SRK917510:SRM917510 TBG917510:TBI917510 TLC917510:TLE917510 TUY917510:TVA917510 UEU917510:UEW917510 UOQ917510:UOS917510 UYM917510:UYO917510 VII917510:VIK917510 VSE917510:VSG917510 WCA917510:WCC917510 WLW917510:WLY917510 WVS917510:WVU917510 K983046:M983046 JG983046:JI983046 TC983046:TE983046 ACY983046:ADA983046 AMU983046:AMW983046 AWQ983046:AWS983046 BGM983046:BGO983046 BQI983046:BQK983046 CAE983046:CAG983046 CKA983046:CKC983046 CTW983046:CTY983046 DDS983046:DDU983046 DNO983046:DNQ983046 DXK983046:DXM983046 EHG983046:EHI983046 ERC983046:ERE983046 FAY983046:FBA983046 FKU983046:FKW983046 FUQ983046:FUS983046 GEM983046:GEO983046 GOI983046:GOK983046 GYE983046:GYG983046 HIA983046:HIC983046 HRW983046:HRY983046 IBS983046:IBU983046 ILO983046:ILQ983046 IVK983046:IVM983046 JFG983046:JFI983046 JPC983046:JPE983046 JYY983046:JZA983046 KIU983046:KIW983046 KSQ983046:KSS983046 LCM983046:LCO983046 LMI983046:LMK983046 LWE983046:LWG983046 MGA983046:MGC983046 MPW983046:MPY983046 MZS983046:MZU983046 NJO983046:NJQ983046 NTK983046:NTM983046 ODG983046:ODI983046 ONC983046:ONE983046 OWY983046:OXA983046 PGU983046:PGW983046 PQQ983046:PQS983046 QAM983046:QAO983046 QKI983046:QKK983046 QUE983046:QUG983046 REA983046:REC983046 RNW983046:RNY983046 RXS983046:RXU983046 SHO983046:SHQ983046 SRK983046:SRM983046 TBG983046:TBI983046 TLC983046:TLE983046 TUY983046:TVA983046 UEU983046:UEW983046 UOQ983046:UOS983046 UYM983046:UYO983046 VII983046:VIK983046 VSE983046:VSG983046 WCA983046:WCC983046 WLW983046:WLY983046 WVS983046:WVU983046 J56 JF56 TB56 ACX56 AMT56 AWP56 BGL56 BQH56 CAD56 CJZ56 CTV56 DDR56 DNN56 DXJ56 EHF56 ERB56 FAX56 FKT56 FUP56 GEL56 GOH56 GYD56 HHZ56 HRV56 IBR56 ILN56 IVJ56 JFF56 JPB56 JYX56 KIT56 KSP56 LCL56 LMH56 LWD56 MFZ56 MPV56 MZR56 NJN56 NTJ56 ODF56 ONB56 OWX56 PGT56 PQP56 QAL56 QKH56 QUD56 RDZ56 RNV56 RXR56 SHN56 SRJ56 TBF56 TLB56 TUX56 UET56 UOP56 UYL56 VIH56 VSD56 WBZ56 WLV56 WVR56 J65592 JF65592 TB65592 ACX65592 AMT65592 AWP65592 BGL65592 BQH65592 CAD65592 CJZ65592 CTV65592 DDR65592 DNN65592 DXJ65592 EHF65592 ERB65592 FAX65592 FKT65592 FUP65592 GEL65592 GOH65592 GYD65592 HHZ65592 HRV65592 IBR65592 ILN65592 IVJ65592 JFF65592 JPB65592 JYX65592 KIT65592 KSP65592 LCL65592 LMH65592 LWD65592 MFZ65592 MPV65592 MZR65592 NJN65592 NTJ65592 ODF65592 ONB65592 OWX65592 PGT65592 PQP65592 QAL65592 QKH65592 QUD65592 RDZ65592 RNV65592 RXR65592 SHN65592 SRJ65592 TBF65592 TLB65592 TUX65592 UET65592 UOP65592 UYL65592 VIH65592 VSD65592 WBZ65592 WLV65592 WVR65592 J131128 JF131128 TB131128 ACX131128 AMT131128 AWP131128 BGL131128 BQH131128 CAD131128 CJZ131128 CTV131128 DDR131128 DNN131128 DXJ131128 EHF131128 ERB131128 FAX131128 FKT131128 FUP131128 GEL131128 GOH131128 GYD131128 HHZ131128 HRV131128 IBR131128 ILN131128 IVJ131128 JFF131128 JPB131128 JYX131128 KIT131128 KSP131128 LCL131128 LMH131128 LWD131128 MFZ131128 MPV131128 MZR131128 NJN131128 NTJ131128 ODF131128 ONB131128 OWX131128 PGT131128 PQP131128 QAL131128 QKH131128 QUD131128 RDZ131128 RNV131128 RXR131128 SHN131128 SRJ131128 TBF131128 TLB131128 TUX131128 UET131128 UOP131128 UYL131128 VIH131128 VSD131128 WBZ131128 WLV131128 WVR131128 J196664 JF196664 TB196664 ACX196664 AMT196664 AWP196664 BGL196664 BQH196664 CAD196664 CJZ196664 CTV196664 DDR196664 DNN196664 DXJ196664 EHF196664 ERB196664 FAX196664 FKT196664 FUP196664 GEL196664 GOH196664 GYD196664 HHZ196664 HRV196664 IBR196664 ILN196664 IVJ196664 JFF196664 JPB196664 JYX196664 KIT196664 KSP196664 LCL196664 LMH196664 LWD196664 MFZ196664 MPV196664 MZR196664 NJN196664 NTJ196664 ODF196664 ONB196664 OWX196664 PGT196664 PQP196664 QAL196664 QKH196664 QUD196664 RDZ196664 RNV196664 RXR196664 SHN196664 SRJ196664 TBF196664 TLB196664 TUX196664 UET196664 UOP196664 UYL196664 VIH196664 VSD196664 WBZ196664 WLV196664 WVR196664 J262200 JF262200 TB262200 ACX262200 AMT262200 AWP262200 BGL262200 BQH262200 CAD262200 CJZ262200 CTV262200 DDR262200 DNN262200 DXJ262200 EHF262200 ERB262200 FAX262200 FKT262200 FUP262200 GEL262200 GOH262200 GYD262200 HHZ262200 HRV262200 IBR262200 ILN262200 IVJ262200 JFF262200 JPB262200 JYX262200 KIT262200 KSP262200 LCL262200 LMH262200 LWD262200 MFZ262200 MPV262200 MZR262200 NJN262200 NTJ262200 ODF262200 ONB262200 OWX262200 PGT262200 PQP262200 QAL262200 QKH262200 QUD262200 RDZ262200 RNV262200 RXR262200 SHN262200 SRJ262200 TBF262200 TLB262200 TUX262200 UET262200 UOP262200 UYL262200 VIH262200 VSD262200 WBZ262200 WLV262200 WVR262200 J327736 JF327736 TB327736 ACX327736 AMT327736 AWP327736 BGL327736 BQH327736 CAD327736 CJZ327736 CTV327736 DDR327736 DNN327736 DXJ327736 EHF327736 ERB327736 FAX327736 FKT327736 FUP327736 GEL327736 GOH327736 GYD327736 HHZ327736 HRV327736 IBR327736 ILN327736 IVJ327736 JFF327736 JPB327736 JYX327736 KIT327736 KSP327736 LCL327736 LMH327736 LWD327736 MFZ327736 MPV327736 MZR327736 NJN327736 NTJ327736 ODF327736 ONB327736 OWX327736 PGT327736 PQP327736 QAL327736 QKH327736 QUD327736 RDZ327736 RNV327736 RXR327736 SHN327736 SRJ327736 TBF327736 TLB327736 TUX327736 UET327736 UOP327736 UYL327736 VIH327736 VSD327736 WBZ327736 WLV327736 WVR327736 J393272 JF393272 TB393272 ACX393272 AMT393272 AWP393272 BGL393272 BQH393272 CAD393272 CJZ393272 CTV393272 DDR393272 DNN393272 DXJ393272 EHF393272 ERB393272 FAX393272 FKT393272 FUP393272 GEL393272 GOH393272 GYD393272 HHZ393272 HRV393272 IBR393272 ILN393272 IVJ393272 JFF393272 JPB393272 JYX393272 KIT393272 KSP393272 LCL393272 LMH393272 LWD393272 MFZ393272 MPV393272 MZR393272 NJN393272 NTJ393272 ODF393272 ONB393272 OWX393272 PGT393272 PQP393272 QAL393272 QKH393272 QUD393272 RDZ393272 RNV393272 RXR393272 SHN393272 SRJ393272 TBF393272 TLB393272 TUX393272 UET393272 UOP393272 UYL393272 VIH393272 VSD393272 WBZ393272 WLV393272 WVR393272 J458808 JF458808 TB458808 ACX458808 AMT458808 AWP458808 BGL458808 BQH458808 CAD458808 CJZ458808 CTV458808 DDR458808 DNN458808 DXJ458808 EHF458808 ERB458808 FAX458808 FKT458808 FUP458808 GEL458808 GOH458808 GYD458808 HHZ458808 HRV458808 IBR458808 ILN458808 IVJ458808 JFF458808 JPB458808 JYX458808 KIT458808 KSP458808 LCL458808 LMH458808 LWD458808 MFZ458808 MPV458808 MZR458808 NJN458808 NTJ458808 ODF458808 ONB458808 OWX458808 PGT458808 PQP458808 QAL458808 QKH458808 QUD458808 RDZ458808 RNV458808 RXR458808 SHN458808 SRJ458808 TBF458808 TLB458808 TUX458808 UET458808 UOP458808 UYL458808 VIH458808 VSD458808 WBZ458808 WLV458808 WVR458808 J524344 JF524344 TB524344 ACX524344 AMT524344 AWP524344 BGL524344 BQH524344 CAD524344 CJZ524344 CTV524344 DDR524344 DNN524344 DXJ524344 EHF524344 ERB524344 FAX524344 FKT524344 FUP524344 GEL524344 GOH524344 GYD524344 HHZ524344 HRV524344 IBR524344 ILN524344 IVJ524344 JFF524344 JPB524344 JYX524344 KIT524344 KSP524344 LCL524344 LMH524344 LWD524344 MFZ524344 MPV524344 MZR524344 NJN524344 NTJ524344 ODF524344 ONB524344 OWX524344 PGT524344 PQP524344 QAL524344 QKH524344 QUD524344 RDZ524344 RNV524344 RXR524344 SHN524344 SRJ524344 TBF524344 TLB524344 TUX524344 UET524344 UOP524344 UYL524344 VIH524344 VSD524344 WBZ524344 WLV524344 WVR524344 J589880 JF589880 TB589880 ACX589880 AMT589880 AWP589880 BGL589880 BQH589880 CAD589880 CJZ589880 CTV589880 DDR589880 DNN589880 DXJ589880 EHF589880 ERB589880 FAX589880 FKT589880 FUP589880 GEL589880 GOH589880 GYD589880 HHZ589880 HRV589880 IBR589880 ILN589880 IVJ589880 JFF589880 JPB589880 JYX589880 KIT589880 KSP589880 LCL589880 LMH589880 LWD589880 MFZ589880 MPV589880 MZR589880 NJN589880 NTJ589880 ODF589880 ONB589880 OWX589880 PGT589880 PQP589880 QAL589880 QKH589880 QUD589880 RDZ589880 RNV589880 RXR589880 SHN589880 SRJ589880 TBF589880 TLB589880 TUX589880 UET589880 UOP589880 UYL589880 VIH589880 VSD589880 WBZ589880 WLV589880 WVR589880 J655416 JF655416 TB655416 ACX655416 AMT655416 AWP655416 BGL655416 BQH655416 CAD655416 CJZ655416 CTV655416 DDR655416 DNN655416 DXJ655416 EHF655416 ERB655416 FAX655416 FKT655416 FUP655416 GEL655416 GOH655416 GYD655416 HHZ655416 HRV655416 IBR655416 ILN655416 IVJ655416 JFF655416 JPB655416 JYX655416 KIT655416 KSP655416 LCL655416 LMH655416 LWD655416 MFZ655416 MPV655416 MZR655416 NJN655416 NTJ655416 ODF655416 ONB655416 OWX655416 PGT655416 PQP655416 QAL655416 QKH655416 QUD655416 RDZ655416 RNV655416 RXR655416 SHN655416 SRJ655416 TBF655416 TLB655416 TUX655416 UET655416 UOP655416 UYL655416 VIH655416 VSD655416 WBZ655416 WLV655416 WVR655416 J720952 JF720952 TB720952 ACX720952 AMT720952 AWP720952 BGL720952 BQH720952 CAD720952 CJZ720952 CTV720952 DDR720952 DNN720952 DXJ720952 EHF720952 ERB720952 FAX720952 FKT720952 FUP720952 GEL720952 GOH720952 GYD720952 HHZ720952 HRV720952 IBR720952 ILN720952 IVJ720952 JFF720952 JPB720952 JYX720952 KIT720952 KSP720952 LCL720952 LMH720952 LWD720952 MFZ720952 MPV720952 MZR720952 NJN720952 NTJ720952 ODF720952 ONB720952 OWX720952 PGT720952 PQP720952 QAL720952 QKH720952 QUD720952 RDZ720952 RNV720952 RXR720952 SHN720952 SRJ720952 TBF720952 TLB720952 TUX720952 UET720952 UOP720952 UYL720952 VIH720952 VSD720952 WBZ720952 WLV720952 WVR720952 J786488 JF786488 TB786488 ACX786488 AMT786488 AWP786488 BGL786488 BQH786488 CAD786488 CJZ786488 CTV786488 DDR786488 DNN786488 DXJ786488 EHF786488 ERB786488 FAX786488 FKT786488 FUP786488 GEL786488 GOH786488 GYD786488 HHZ786488 HRV786488 IBR786488 ILN786488 IVJ786488 JFF786488 JPB786488 JYX786488 KIT786488 KSP786488 LCL786488 LMH786488 LWD786488 MFZ786488 MPV786488 MZR786488 NJN786488 NTJ786488 ODF786488 ONB786488 OWX786488 PGT786488 PQP786488 QAL786488 QKH786488 QUD786488 RDZ786488 RNV786488 RXR786488 SHN786488 SRJ786488 TBF786488 TLB786488 TUX786488 UET786488 UOP786488 UYL786488 VIH786488 VSD786488 WBZ786488 WLV786488 WVR786488 J852024 JF852024 TB852024 ACX852024 AMT852024 AWP852024 BGL852024 BQH852024 CAD852024 CJZ852024 CTV852024 DDR852024 DNN852024 DXJ852024 EHF852024 ERB852024 FAX852024 FKT852024 FUP852024 GEL852024 GOH852024 GYD852024 HHZ852024 HRV852024 IBR852024 ILN852024 IVJ852024 JFF852024 JPB852024 JYX852024 KIT852024 KSP852024 LCL852024 LMH852024 LWD852024 MFZ852024 MPV852024 MZR852024 NJN852024 NTJ852024 ODF852024 ONB852024 OWX852024 PGT852024 PQP852024 QAL852024 QKH852024 QUD852024 RDZ852024 RNV852024 RXR852024 SHN852024 SRJ852024 TBF852024 TLB852024 TUX852024 UET852024 UOP852024 UYL852024 VIH852024 VSD852024 WBZ852024 WLV852024 WVR852024 J917560 JF917560 TB917560 ACX917560 AMT917560 AWP917560 BGL917560 BQH917560 CAD917560 CJZ917560 CTV917560 DDR917560 DNN917560 DXJ917560 EHF917560 ERB917560 FAX917560 FKT917560 FUP917560 GEL917560 GOH917560 GYD917560 HHZ917560 HRV917560 IBR917560 ILN917560 IVJ917560 JFF917560 JPB917560 JYX917560 KIT917560 KSP917560 LCL917560 LMH917560 LWD917560 MFZ917560 MPV917560 MZR917560 NJN917560 NTJ917560 ODF917560 ONB917560 OWX917560 PGT917560 PQP917560 QAL917560 QKH917560 QUD917560 RDZ917560 RNV917560 RXR917560 SHN917560 SRJ917560 TBF917560 TLB917560 TUX917560 UET917560 UOP917560 UYL917560 VIH917560 VSD917560 WBZ917560 WLV917560 WVR917560 J983096 JF983096 TB983096 ACX983096 AMT983096 AWP983096 BGL983096 BQH983096 CAD983096 CJZ983096 CTV983096 DDR983096 DNN983096 DXJ983096 EHF983096 ERB983096 FAX983096 FKT983096 FUP983096 GEL983096 GOH983096 GYD983096 HHZ983096 HRV983096 IBR983096 ILN983096 IVJ983096 JFF983096 JPB983096 JYX983096 KIT983096 KSP983096 LCL983096 LMH983096 LWD983096 MFZ983096 MPV983096 MZR983096 NJN983096 NTJ983096 ODF983096 ONB983096 OWX983096 PGT983096 PQP983096 QAL983096 QKH983096 QUD983096 RDZ983096 RNV983096 RXR983096 SHN983096 SRJ983096 TBF983096 TLB983096 TUX983096 UET983096 UOP983096 UYL983096 VIH983096 VSD983096 WBZ983096 WLV983096 WVR983096 H54:I54 JD54:JE54 SZ54:TA54 ACV54:ACW54 AMR54:AMS54 AWN54:AWO54 BGJ54:BGK54 BQF54:BQG54 CAB54:CAC54 CJX54:CJY54 CTT54:CTU54 DDP54:DDQ54 DNL54:DNM54 DXH54:DXI54 EHD54:EHE54 EQZ54:ERA54 FAV54:FAW54 FKR54:FKS54 FUN54:FUO54 GEJ54:GEK54 GOF54:GOG54 GYB54:GYC54 HHX54:HHY54 HRT54:HRU54 IBP54:IBQ54 ILL54:ILM54 IVH54:IVI54 JFD54:JFE54 JOZ54:JPA54 JYV54:JYW54 KIR54:KIS54 KSN54:KSO54 LCJ54:LCK54 LMF54:LMG54 LWB54:LWC54 MFX54:MFY54 MPT54:MPU54 MZP54:MZQ54 NJL54:NJM54 NTH54:NTI54 ODD54:ODE54 OMZ54:ONA54 OWV54:OWW54 PGR54:PGS54 PQN54:PQO54 QAJ54:QAK54 QKF54:QKG54 QUB54:QUC54 RDX54:RDY54 RNT54:RNU54 RXP54:RXQ54 SHL54:SHM54 SRH54:SRI54 TBD54:TBE54 TKZ54:TLA54 TUV54:TUW54 UER54:UES54 UON54:UOO54 UYJ54:UYK54 VIF54:VIG54 VSB54:VSC54 WBX54:WBY54 WLT54:WLU54 WVP54:WVQ54 H65590:I65590 JD65590:JE65590 SZ65590:TA65590 ACV65590:ACW65590 AMR65590:AMS65590 AWN65590:AWO65590 BGJ65590:BGK65590 BQF65590:BQG65590 CAB65590:CAC65590 CJX65590:CJY65590 CTT65590:CTU65590 DDP65590:DDQ65590 DNL65590:DNM65590 DXH65590:DXI65590 EHD65590:EHE65590 EQZ65590:ERA65590 FAV65590:FAW65590 FKR65590:FKS65590 FUN65590:FUO65590 GEJ65590:GEK65590 GOF65590:GOG65590 GYB65590:GYC65590 HHX65590:HHY65590 HRT65590:HRU65590 IBP65590:IBQ65590 ILL65590:ILM65590 IVH65590:IVI65590 JFD65590:JFE65590 JOZ65590:JPA65590 JYV65590:JYW65590 KIR65590:KIS65590 KSN65590:KSO65590 LCJ65590:LCK65590 LMF65590:LMG65590 LWB65590:LWC65590 MFX65590:MFY65590 MPT65590:MPU65590 MZP65590:MZQ65590 NJL65590:NJM65590 NTH65590:NTI65590 ODD65590:ODE65590 OMZ65590:ONA65590 OWV65590:OWW65590 PGR65590:PGS65590 PQN65590:PQO65590 QAJ65590:QAK65590 QKF65590:QKG65590 QUB65590:QUC65590 RDX65590:RDY65590 RNT65590:RNU65590 RXP65590:RXQ65590 SHL65590:SHM65590 SRH65590:SRI65590 TBD65590:TBE65590 TKZ65590:TLA65590 TUV65590:TUW65590 UER65590:UES65590 UON65590:UOO65590 UYJ65590:UYK65590 VIF65590:VIG65590 VSB65590:VSC65590 WBX65590:WBY65590 WLT65590:WLU65590 WVP65590:WVQ65590 H131126:I131126 JD131126:JE131126 SZ131126:TA131126 ACV131126:ACW131126 AMR131126:AMS131126 AWN131126:AWO131126 BGJ131126:BGK131126 BQF131126:BQG131126 CAB131126:CAC131126 CJX131126:CJY131126 CTT131126:CTU131126 DDP131126:DDQ131126 DNL131126:DNM131126 DXH131126:DXI131126 EHD131126:EHE131126 EQZ131126:ERA131126 FAV131126:FAW131126 FKR131126:FKS131126 FUN131126:FUO131126 GEJ131126:GEK131126 GOF131126:GOG131126 GYB131126:GYC131126 HHX131126:HHY131126 HRT131126:HRU131126 IBP131126:IBQ131126 ILL131126:ILM131126 IVH131126:IVI131126 JFD131126:JFE131126 JOZ131126:JPA131126 JYV131126:JYW131126 KIR131126:KIS131126 KSN131126:KSO131126 LCJ131126:LCK131126 LMF131126:LMG131126 LWB131126:LWC131126 MFX131126:MFY131126 MPT131126:MPU131126 MZP131126:MZQ131126 NJL131126:NJM131126 NTH131126:NTI131126 ODD131126:ODE131126 OMZ131126:ONA131126 OWV131126:OWW131126 PGR131126:PGS131126 PQN131126:PQO131126 QAJ131126:QAK131126 QKF131126:QKG131126 QUB131126:QUC131126 RDX131126:RDY131126 RNT131126:RNU131126 RXP131126:RXQ131126 SHL131126:SHM131126 SRH131126:SRI131126 TBD131126:TBE131126 TKZ131126:TLA131126 TUV131126:TUW131126 UER131126:UES131126 UON131126:UOO131126 UYJ131126:UYK131126 VIF131126:VIG131126 VSB131126:VSC131126 WBX131126:WBY131126 WLT131126:WLU131126 WVP131126:WVQ131126 H196662:I196662 JD196662:JE196662 SZ196662:TA196662 ACV196662:ACW196662 AMR196662:AMS196662 AWN196662:AWO196662 BGJ196662:BGK196662 BQF196662:BQG196662 CAB196662:CAC196662 CJX196662:CJY196662 CTT196662:CTU196662 DDP196662:DDQ196662 DNL196662:DNM196662 DXH196662:DXI196662 EHD196662:EHE196662 EQZ196662:ERA196662 FAV196662:FAW196662 FKR196662:FKS196662 FUN196662:FUO196662 GEJ196662:GEK196662 GOF196662:GOG196662 GYB196662:GYC196662 HHX196662:HHY196662 HRT196662:HRU196662 IBP196662:IBQ196662 ILL196662:ILM196662 IVH196662:IVI196662 JFD196662:JFE196662 JOZ196662:JPA196662 JYV196662:JYW196662 KIR196662:KIS196662 KSN196662:KSO196662 LCJ196662:LCK196662 LMF196662:LMG196662 LWB196662:LWC196662 MFX196662:MFY196662 MPT196662:MPU196662 MZP196662:MZQ196662 NJL196662:NJM196662 NTH196662:NTI196662 ODD196662:ODE196662 OMZ196662:ONA196662 OWV196662:OWW196662 PGR196662:PGS196662 PQN196662:PQO196662 QAJ196662:QAK196662 QKF196662:QKG196662 QUB196662:QUC196662 RDX196662:RDY196662 RNT196662:RNU196662 RXP196662:RXQ196662 SHL196662:SHM196662 SRH196662:SRI196662 TBD196662:TBE196662 TKZ196662:TLA196662 TUV196662:TUW196662 UER196662:UES196662 UON196662:UOO196662 UYJ196662:UYK196662 VIF196662:VIG196662 VSB196662:VSC196662 WBX196662:WBY196662 WLT196662:WLU196662 WVP196662:WVQ196662 H262198:I262198 JD262198:JE262198 SZ262198:TA262198 ACV262198:ACW262198 AMR262198:AMS262198 AWN262198:AWO262198 BGJ262198:BGK262198 BQF262198:BQG262198 CAB262198:CAC262198 CJX262198:CJY262198 CTT262198:CTU262198 DDP262198:DDQ262198 DNL262198:DNM262198 DXH262198:DXI262198 EHD262198:EHE262198 EQZ262198:ERA262198 FAV262198:FAW262198 FKR262198:FKS262198 FUN262198:FUO262198 GEJ262198:GEK262198 GOF262198:GOG262198 GYB262198:GYC262198 HHX262198:HHY262198 HRT262198:HRU262198 IBP262198:IBQ262198 ILL262198:ILM262198 IVH262198:IVI262198 JFD262198:JFE262198 JOZ262198:JPA262198 JYV262198:JYW262198 KIR262198:KIS262198 KSN262198:KSO262198 LCJ262198:LCK262198 LMF262198:LMG262198 LWB262198:LWC262198 MFX262198:MFY262198 MPT262198:MPU262198 MZP262198:MZQ262198 NJL262198:NJM262198 NTH262198:NTI262198 ODD262198:ODE262198 OMZ262198:ONA262198 OWV262198:OWW262198 PGR262198:PGS262198 PQN262198:PQO262198 QAJ262198:QAK262198 QKF262198:QKG262198 QUB262198:QUC262198 RDX262198:RDY262198 RNT262198:RNU262198 RXP262198:RXQ262198 SHL262198:SHM262198 SRH262198:SRI262198 TBD262198:TBE262198 TKZ262198:TLA262198 TUV262198:TUW262198 UER262198:UES262198 UON262198:UOO262198 UYJ262198:UYK262198 VIF262198:VIG262198 VSB262198:VSC262198 WBX262198:WBY262198 WLT262198:WLU262198 WVP262198:WVQ262198 H327734:I327734 JD327734:JE327734 SZ327734:TA327734 ACV327734:ACW327734 AMR327734:AMS327734 AWN327734:AWO327734 BGJ327734:BGK327734 BQF327734:BQG327734 CAB327734:CAC327734 CJX327734:CJY327734 CTT327734:CTU327734 DDP327734:DDQ327734 DNL327734:DNM327734 DXH327734:DXI327734 EHD327734:EHE327734 EQZ327734:ERA327734 FAV327734:FAW327734 FKR327734:FKS327734 FUN327734:FUO327734 GEJ327734:GEK327734 GOF327734:GOG327734 GYB327734:GYC327734 HHX327734:HHY327734 HRT327734:HRU327734 IBP327734:IBQ327734 ILL327734:ILM327734 IVH327734:IVI327734 JFD327734:JFE327734 JOZ327734:JPA327734 JYV327734:JYW327734 KIR327734:KIS327734 KSN327734:KSO327734 LCJ327734:LCK327734 LMF327734:LMG327734 LWB327734:LWC327734 MFX327734:MFY327734 MPT327734:MPU327734 MZP327734:MZQ327734 NJL327734:NJM327734 NTH327734:NTI327734 ODD327734:ODE327734 OMZ327734:ONA327734 OWV327734:OWW327734 PGR327734:PGS327734 PQN327734:PQO327734 QAJ327734:QAK327734 QKF327734:QKG327734 QUB327734:QUC327734 RDX327734:RDY327734 RNT327734:RNU327734 RXP327734:RXQ327734 SHL327734:SHM327734 SRH327734:SRI327734 TBD327734:TBE327734 TKZ327734:TLA327734 TUV327734:TUW327734 UER327734:UES327734 UON327734:UOO327734 UYJ327734:UYK327734 VIF327734:VIG327734 VSB327734:VSC327734 WBX327734:WBY327734 WLT327734:WLU327734 WVP327734:WVQ327734 H393270:I393270 JD393270:JE393270 SZ393270:TA393270 ACV393270:ACW393270 AMR393270:AMS393270 AWN393270:AWO393270 BGJ393270:BGK393270 BQF393270:BQG393270 CAB393270:CAC393270 CJX393270:CJY393270 CTT393270:CTU393270 DDP393270:DDQ393270 DNL393270:DNM393270 DXH393270:DXI393270 EHD393270:EHE393270 EQZ393270:ERA393270 FAV393270:FAW393270 FKR393270:FKS393270 FUN393270:FUO393270 GEJ393270:GEK393270 GOF393270:GOG393270 GYB393270:GYC393270 HHX393270:HHY393270 HRT393270:HRU393270 IBP393270:IBQ393270 ILL393270:ILM393270 IVH393270:IVI393270 JFD393270:JFE393270 JOZ393270:JPA393270 JYV393270:JYW393270 KIR393270:KIS393270 KSN393270:KSO393270 LCJ393270:LCK393270 LMF393270:LMG393270 LWB393270:LWC393270 MFX393270:MFY393270 MPT393270:MPU393270 MZP393270:MZQ393270 NJL393270:NJM393270 NTH393270:NTI393270 ODD393270:ODE393270 OMZ393270:ONA393270 OWV393270:OWW393270 PGR393270:PGS393270 PQN393270:PQO393270 QAJ393270:QAK393270 QKF393270:QKG393270 QUB393270:QUC393270 RDX393270:RDY393270 RNT393270:RNU393270 RXP393270:RXQ393270 SHL393270:SHM393270 SRH393270:SRI393270 TBD393270:TBE393270 TKZ393270:TLA393270 TUV393270:TUW393270 UER393270:UES393270 UON393270:UOO393270 UYJ393270:UYK393270 VIF393270:VIG393270 VSB393270:VSC393270 WBX393270:WBY393270 WLT393270:WLU393270 WVP393270:WVQ393270 H458806:I458806 JD458806:JE458806 SZ458806:TA458806 ACV458806:ACW458806 AMR458806:AMS458806 AWN458806:AWO458806 BGJ458806:BGK458806 BQF458806:BQG458806 CAB458806:CAC458806 CJX458806:CJY458806 CTT458806:CTU458806 DDP458806:DDQ458806 DNL458806:DNM458806 DXH458806:DXI458806 EHD458806:EHE458806 EQZ458806:ERA458806 FAV458806:FAW458806 FKR458806:FKS458806 FUN458806:FUO458806 GEJ458806:GEK458806 GOF458806:GOG458806 GYB458806:GYC458806 HHX458806:HHY458806 HRT458806:HRU458806 IBP458806:IBQ458806 ILL458806:ILM458806 IVH458806:IVI458806 JFD458806:JFE458806 JOZ458806:JPA458806 JYV458806:JYW458806 KIR458806:KIS458806 KSN458806:KSO458806 LCJ458806:LCK458806 LMF458806:LMG458806 LWB458806:LWC458806 MFX458806:MFY458806 MPT458806:MPU458806 MZP458806:MZQ458806 NJL458806:NJM458806 NTH458806:NTI458806 ODD458806:ODE458806 OMZ458806:ONA458806 OWV458806:OWW458806 PGR458806:PGS458806 PQN458806:PQO458806 QAJ458806:QAK458806 QKF458806:QKG458806 QUB458806:QUC458806 RDX458806:RDY458806 RNT458806:RNU458806 RXP458806:RXQ458806 SHL458806:SHM458806 SRH458806:SRI458806 TBD458806:TBE458806 TKZ458806:TLA458806 TUV458806:TUW458806 UER458806:UES458806 UON458806:UOO458806 UYJ458806:UYK458806 VIF458806:VIG458806 VSB458806:VSC458806 WBX458806:WBY458806 WLT458806:WLU458806 WVP458806:WVQ458806 H524342:I524342 JD524342:JE524342 SZ524342:TA524342 ACV524342:ACW524342 AMR524342:AMS524342 AWN524342:AWO524342 BGJ524342:BGK524342 BQF524342:BQG524342 CAB524342:CAC524342 CJX524342:CJY524342 CTT524342:CTU524342 DDP524342:DDQ524342 DNL524342:DNM524342 DXH524342:DXI524342 EHD524342:EHE524342 EQZ524342:ERA524342 FAV524342:FAW524342 FKR524342:FKS524342 FUN524342:FUO524342 GEJ524342:GEK524342 GOF524342:GOG524342 GYB524342:GYC524342 HHX524342:HHY524342 HRT524342:HRU524342 IBP524342:IBQ524342 ILL524342:ILM524342 IVH524342:IVI524342 JFD524342:JFE524342 JOZ524342:JPA524342 JYV524342:JYW524342 KIR524342:KIS524342 KSN524342:KSO524342 LCJ524342:LCK524342 LMF524342:LMG524342 LWB524342:LWC524342 MFX524342:MFY524342 MPT524342:MPU524342 MZP524342:MZQ524342 NJL524342:NJM524342 NTH524342:NTI524342 ODD524342:ODE524342 OMZ524342:ONA524342 OWV524342:OWW524342 PGR524342:PGS524342 PQN524342:PQO524342 QAJ524342:QAK524342 QKF524342:QKG524342 QUB524342:QUC524342 RDX524342:RDY524342 RNT524342:RNU524342 RXP524342:RXQ524342 SHL524342:SHM524342 SRH524342:SRI524342 TBD524342:TBE524342 TKZ524342:TLA524342 TUV524342:TUW524342 UER524342:UES524342 UON524342:UOO524342 UYJ524342:UYK524342 VIF524342:VIG524342 VSB524342:VSC524342 WBX524342:WBY524342 WLT524342:WLU524342 WVP524342:WVQ524342 H589878:I589878 JD589878:JE589878 SZ589878:TA589878 ACV589878:ACW589878 AMR589878:AMS589878 AWN589878:AWO589878 BGJ589878:BGK589878 BQF589878:BQG589878 CAB589878:CAC589878 CJX589878:CJY589878 CTT589878:CTU589878 DDP589878:DDQ589878 DNL589878:DNM589878 DXH589878:DXI589878 EHD589878:EHE589878 EQZ589878:ERA589878 FAV589878:FAW589878 FKR589878:FKS589878 FUN589878:FUO589878 GEJ589878:GEK589878 GOF589878:GOG589878 GYB589878:GYC589878 HHX589878:HHY589878 HRT589878:HRU589878 IBP589878:IBQ589878 ILL589878:ILM589878 IVH589878:IVI589878 JFD589878:JFE589878 JOZ589878:JPA589878 JYV589878:JYW589878 KIR589878:KIS589878 KSN589878:KSO589878 LCJ589878:LCK589878 LMF589878:LMG589878 LWB589878:LWC589878 MFX589878:MFY589878 MPT589878:MPU589878 MZP589878:MZQ589878 NJL589878:NJM589878 NTH589878:NTI589878 ODD589878:ODE589878 OMZ589878:ONA589878 OWV589878:OWW589878 PGR589878:PGS589878 PQN589878:PQO589878 QAJ589878:QAK589878 QKF589878:QKG589878 QUB589878:QUC589878 RDX589878:RDY589878 RNT589878:RNU589878 RXP589878:RXQ589878 SHL589878:SHM589878 SRH589878:SRI589878 TBD589878:TBE589878 TKZ589878:TLA589878 TUV589878:TUW589878 UER589878:UES589878 UON589878:UOO589878 UYJ589878:UYK589878 VIF589878:VIG589878 VSB589878:VSC589878 WBX589878:WBY589878 WLT589878:WLU589878 WVP589878:WVQ589878 H655414:I655414 JD655414:JE655414 SZ655414:TA655414 ACV655414:ACW655414 AMR655414:AMS655414 AWN655414:AWO655414 BGJ655414:BGK655414 BQF655414:BQG655414 CAB655414:CAC655414 CJX655414:CJY655414 CTT655414:CTU655414 DDP655414:DDQ655414 DNL655414:DNM655414 DXH655414:DXI655414 EHD655414:EHE655414 EQZ655414:ERA655414 FAV655414:FAW655414 FKR655414:FKS655414 FUN655414:FUO655414 GEJ655414:GEK655414 GOF655414:GOG655414 GYB655414:GYC655414 HHX655414:HHY655414 HRT655414:HRU655414 IBP655414:IBQ655414 ILL655414:ILM655414 IVH655414:IVI655414 JFD655414:JFE655414 JOZ655414:JPA655414 JYV655414:JYW655414 KIR655414:KIS655414 KSN655414:KSO655414 LCJ655414:LCK655414 LMF655414:LMG655414 LWB655414:LWC655414 MFX655414:MFY655414 MPT655414:MPU655414 MZP655414:MZQ655414 NJL655414:NJM655414 NTH655414:NTI655414 ODD655414:ODE655414 OMZ655414:ONA655414 OWV655414:OWW655414 PGR655414:PGS655414 PQN655414:PQO655414 QAJ655414:QAK655414 QKF655414:QKG655414 QUB655414:QUC655414 RDX655414:RDY655414 RNT655414:RNU655414 RXP655414:RXQ655414 SHL655414:SHM655414 SRH655414:SRI655414 TBD655414:TBE655414 TKZ655414:TLA655414 TUV655414:TUW655414 UER655414:UES655414 UON655414:UOO655414 UYJ655414:UYK655414 VIF655414:VIG655414 VSB655414:VSC655414 WBX655414:WBY655414 WLT655414:WLU655414 WVP655414:WVQ655414 H720950:I720950 JD720950:JE720950 SZ720950:TA720950 ACV720950:ACW720950 AMR720950:AMS720950 AWN720950:AWO720950 BGJ720950:BGK720950 BQF720950:BQG720950 CAB720950:CAC720950 CJX720950:CJY720950 CTT720950:CTU720950 DDP720950:DDQ720950 DNL720950:DNM720950 DXH720950:DXI720950 EHD720950:EHE720950 EQZ720950:ERA720950 FAV720950:FAW720950 FKR720950:FKS720950 FUN720950:FUO720950 GEJ720950:GEK720950 GOF720950:GOG720950 GYB720950:GYC720950 HHX720950:HHY720950 HRT720950:HRU720950 IBP720950:IBQ720950 ILL720950:ILM720950 IVH720950:IVI720950 JFD720950:JFE720950 JOZ720950:JPA720950 JYV720950:JYW720950 KIR720950:KIS720950 KSN720950:KSO720950 LCJ720950:LCK720950 LMF720950:LMG720950 LWB720950:LWC720950 MFX720950:MFY720950 MPT720950:MPU720950 MZP720950:MZQ720950 NJL720950:NJM720950 NTH720950:NTI720950 ODD720950:ODE720950 OMZ720950:ONA720950 OWV720950:OWW720950 PGR720950:PGS720950 PQN720950:PQO720950 QAJ720950:QAK720950 QKF720950:QKG720950 QUB720950:QUC720950 RDX720950:RDY720950 RNT720950:RNU720950 RXP720950:RXQ720950 SHL720950:SHM720950 SRH720950:SRI720950 TBD720950:TBE720950 TKZ720950:TLA720950 TUV720950:TUW720950 UER720950:UES720950 UON720950:UOO720950 UYJ720950:UYK720950 VIF720950:VIG720950 VSB720950:VSC720950 WBX720950:WBY720950 WLT720950:WLU720950 WVP720950:WVQ720950 H786486:I786486 JD786486:JE786486 SZ786486:TA786486 ACV786486:ACW786486 AMR786486:AMS786486 AWN786486:AWO786486 BGJ786486:BGK786486 BQF786486:BQG786486 CAB786486:CAC786486 CJX786486:CJY786486 CTT786486:CTU786486 DDP786486:DDQ786486 DNL786486:DNM786486 DXH786486:DXI786486 EHD786486:EHE786486 EQZ786486:ERA786486 FAV786486:FAW786486 FKR786486:FKS786486 FUN786486:FUO786486 GEJ786486:GEK786486 GOF786486:GOG786486 GYB786486:GYC786486 HHX786486:HHY786486 HRT786486:HRU786486 IBP786486:IBQ786486 ILL786486:ILM786486 IVH786486:IVI786486 JFD786486:JFE786486 JOZ786486:JPA786486 JYV786486:JYW786486 KIR786486:KIS786486 KSN786486:KSO786486 LCJ786486:LCK786486 LMF786486:LMG786486 LWB786486:LWC786486 MFX786486:MFY786486 MPT786486:MPU786486 MZP786486:MZQ786486 NJL786486:NJM786486 NTH786486:NTI786486 ODD786486:ODE786486 OMZ786486:ONA786486 OWV786486:OWW786486 PGR786486:PGS786486 PQN786486:PQO786486 QAJ786486:QAK786486 QKF786486:QKG786486 QUB786486:QUC786486 RDX786486:RDY786486 RNT786486:RNU786486 RXP786486:RXQ786486 SHL786486:SHM786486 SRH786486:SRI786486 TBD786486:TBE786486 TKZ786486:TLA786486 TUV786486:TUW786486 UER786486:UES786486 UON786486:UOO786486 UYJ786486:UYK786486 VIF786486:VIG786486 VSB786486:VSC786486 WBX786486:WBY786486 WLT786486:WLU786486 WVP786486:WVQ786486 H852022:I852022 JD852022:JE852022 SZ852022:TA852022 ACV852022:ACW852022 AMR852022:AMS852022 AWN852022:AWO852022 BGJ852022:BGK852022 BQF852022:BQG852022 CAB852022:CAC852022 CJX852022:CJY852022 CTT852022:CTU852022 DDP852022:DDQ852022 DNL852022:DNM852022 DXH852022:DXI852022 EHD852022:EHE852022 EQZ852022:ERA852022 FAV852022:FAW852022 FKR852022:FKS852022 FUN852022:FUO852022 GEJ852022:GEK852022 GOF852022:GOG852022 GYB852022:GYC852022 HHX852022:HHY852022 HRT852022:HRU852022 IBP852022:IBQ852022 ILL852022:ILM852022 IVH852022:IVI852022 JFD852022:JFE852022 JOZ852022:JPA852022 JYV852022:JYW852022 KIR852022:KIS852022 KSN852022:KSO852022 LCJ852022:LCK852022 LMF852022:LMG852022 LWB852022:LWC852022 MFX852022:MFY852022 MPT852022:MPU852022 MZP852022:MZQ852022 NJL852022:NJM852022 NTH852022:NTI852022 ODD852022:ODE852022 OMZ852022:ONA852022 OWV852022:OWW852022 PGR852022:PGS852022 PQN852022:PQO852022 QAJ852022:QAK852022 QKF852022:QKG852022 QUB852022:QUC852022 RDX852022:RDY852022 RNT852022:RNU852022 RXP852022:RXQ852022 SHL852022:SHM852022 SRH852022:SRI852022 TBD852022:TBE852022 TKZ852022:TLA852022 TUV852022:TUW852022 UER852022:UES852022 UON852022:UOO852022 UYJ852022:UYK852022 VIF852022:VIG852022 VSB852022:VSC852022 WBX852022:WBY852022 WLT852022:WLU852022 WVP852022:WVQ852022 H917558:I917558 JD917558:JE917558 SZ917558:TA917558 ACV917558:ACW917558 AMR917558:AMS917558 AWN917558:AWO917558 BGJ917558:BGK917558 BQF917558:BQG917558 CAB917558:CAC917558 CJX917558:CJY917558 CTT917558:CTU917558 DDP917558:DDQ917558 DNL917558:DNM917558 DXH917558:DXI917558 EHD917558:EHE917558 EQZ917558:ERA917558 FAV917558:FAW917558 FKR917558:FKS917558 FUN917558:FUO917558 GEJ917558:GEK917558 GOF917558:GOG917558 GYB917558:GYC917558 HHX917558:HHY917558 HRT917558:HRU917558 IBP917558:IBQ917558 ILL917558:ILM917558 IVH917558:IVI917558 JFD917558:JFE917558 JOZ917558:JPA917558 JYV917558:JYW917558 KIR917558:KIS917558 KSN917558:KSO917558 LCJ917558:LCK917558 LMF917558:LMG917558 LWB917558:LWC917558 MFX917558:MFY917558 MPT917558:MPU917558 MZP917558:MZQ917558 NJL917558:NJM917558 NTH917558:NTI917558 ODD917558:ODE917558 OMZ917558:ONA917558 OWV917558:OWW917558 PGR917558:PGS917558 PQN917558:PQO917558 QAJ917558:QAK917558 QKF917558:QKG917558 QUB917558:QUC917558 RDX917558:RDY917558 RNT917558:RNU917558 RXP917558:RXQ917558 SHL917558:SHM917558 SRH917558:SRI917558 TBD917558:TBE917558 TKZ917558:TLA917558 TUV917558:TUW917558 UER917558:UES917558 UON917558:UOO917558 UYJ917558:UYK917558 VIF917558:VIG917558 VSB917558:VSC917558 WBX917558:WBY917558 WLT917558:WLU917558 WVP917558:WVQ917558 H983094:I983094 JD983094:JE983094 SZ983094:TA983094 ACV983094:ACW983094 AMR983094:AMS983094 AWN983094:AWO983094 BGJ983094:BGK983094 BQF983094:BQG983094 CAB983094:CAC983094 CJX983094:CJY983094 CTT983094:CTU983094 DDP983094:DDQ983094 DNL983094:DNM983094 DXH983094:DXI983094 EHD983094:EHE983094 EQZ983094:ERA983094 FAV983094:FAW983094 FKR983094:FKS983094 FUN983094:FUO983094 GEJ983094:GEK983094 GOF983094:GOG983094 GYB983094:GYC983094 HHX983094:HHY983094 HRT983094:HRU983094 IBP983094:IBQ983094 ILL983094:ILM983094 IVH983094:IVI983094 JFD983094:JFE983094 JOZ983094:JPA983094 JYV983094:JYW983094 KIR983094:KIS983094 KSN983094:KSO983094 LCJ983094:LCK983094 LMF983094:LMG983094 LWB983094:LWC983094 MFX983094:MFY983094 MPT983094:MPU983094 MZP983094:MZQ983094 NJL983094:NJM983094 NTH983094:NTI983094 ODD983094:ODE983094 OMZ983094:ONA983094 OWV983094:OWW983094 PGR983094:PGS983094 PQN983094:PQO983094 QAJ983094:QAK983094 QKF983094:QKG983094 QUB983094:QUC983094 RDX983094:RDY983094 RNT983094:RNU983094 RXP983094:RXQ983094 SHL983094:SHM983094 SRH983094:SRI983094 TBD983094:TBE983094 TKZ983094:TLA983094 TUV983094:TUW983094 UER983094:UES983094 UON983094:UOO983094 UYJ983094:UYK983094 VIF983094:VIG983094 VSB983094:VSC983094 WBX983094:WBY983094 WLT983094:WLU983094 WVP983094:WVQ983094 R21:S21 JN21:JO21 TJ21:TK21 ADF21:ADG21 ANB21:ANC21 AWX21:AWY21 BGT21:BGU21 BQP21:BQQ21 CAL21:CAM21 CKH21:CKI21 CUD21:CUE21 DDZ21:DEA21 DNV21:DNW21 DXR21:DXS21 EHN21:EHO21 ERJ21:ERK21 FBF21:FBG21 FLB21:FLC21 FUX21:FUY21 GET21:GEU21 GOP21:GOQ21 GYL21:GYM21 HIH21:HII21 HSD21:HSE21 IBZ21:ICA21 ILV21:ILW21 IVR21:IVS21 JFN21:JFO21 JPJ21:JPK21 JZF21:JZG21 KJB21:KJC21 KSX21:KSY21 LCT21:LCU21 LMP21:LMQ21 LWL21:LWM21 MGH21:MGI21 MQD21:MQE21 MZZ21:NAA21 NJV21:NJW21 NTR21:NTS21 ODN21:ODO21 ONJ21:ONK21 OXF21:OXG21 PHB21:PHC21 PQX21:PQY21 QAT21:QAU21 QKP21:QKQ21 QUL21:QUM21 REH21:REI21 ROD21:ROE21 RXZ21:RYA21 SHV21:SHW21 SRR21:SRS21 TBN21:TBO21 TLJ21:TLK21 TVF21:TVG21 UFB21:UFC21 UOX21:UOY21 UYT21:UYU21 VIP21:VIQ21 VSL21:VSM21 WCH21:WCI21 WMD21:WME21 WVZ21:WWA21 R65557:S65557 JN65557:JO65557 TJ65557:TK65557 ADF65557:ADG65557 ANB65557:ANC65557 AWX65557:AWY65557 BGT65557:BGU65557 BQP65557:BQQ65557 CAL65557:CAM65557 CKH65557:CKI65557 CUD65557:CUE65557 DDZ65557:DEA65557 DNV65557:DNW65557 DXR65557:DXS65557 EHN65557:EHO65557 ERJ65557:ERK65557 FBF65557:FBG65557 FLB65557:FLC65557 FUX65557:FUY65557 GET65557:GEU65557 GOP65557:GOQ65557 GYL65557:GYM65557 HIH65557:HII65557 HSD65557:HSE65557 IBZ65557:ICA65557 ILV65557:ILW65557 IVR65557:IVS65557 JFN65557:JFO65557 JPJ65557:JPK65557 JZF65557:JZG65557 KJB65557:KJC65557 KSX65557:KSY65557 LCT65557:LCU65557 LMP65557:LMQ65557 LWL65557:LWM65557 MGH65557:MGI65557 MQD65557:MQE65557 MZZ65557:NAA65557 NJV65557:NJW65557 NTR65557:NTS65557 ODN65557:ODO65557 ONJ65557:ONK65557 OXF65557:OXG65557 PHB65557:PHC65557 PQX65557:PQY65557 QAT65557:QAU65557 QKP65557:QKQ65557 QUL65557:QUM65557 REH65557:REI65557 ROD65557:ROE65557 RXZ65557:RYA65557 SHV65557:SHW65557 SRR65557:SRS65557 TBN65557:TBO65557 TLJ65557:TLK65557 TVF65557:TVG65557 UFB65557:UFC65557 UOX65557:UOY65557 UYT65557:UYU65557 VIP65557:VIQ65557 VSL65557:VSM65557 WCH65557:WCI65557 WMD65557:WME65557 WVZ65557:WWA65557 R131093:S131093 JN131093:JO131093 TJ131093:TK131093 ADF131093:ADG131093 ANB131093:ANC131093 AWX131093:AWY131093 BGT131093:BGU131093 BQP131093:BQQ131093 CAL131093:CAM131093 CKH131093:CKI131093 CUD131093:CUE131093 DDZ131093:DEA131093 DNV131093:DNW131093 DXR131093:DXS131093 EHN131093:EHO131093 ERJ131093:ERK131093 FBF131093:FBG131093 FLB131093:FLC131093 FUX131093:FUY131093 GET131093:GEU131093 GOP131093:GOQ131093 GYL131093:GYM131093 HIH131093:HII131093 HSD131093:HSE131093 IBZ131093:ICA131093 ILV131093:ILW131093 IVR131093:IVS131093 JFN131093:JFO131093 JPJ131093:JPK131093 JZF131093:JZG131093 KJB131093:KJC131093 KSX131093:KSY131093 LCT131093:LCU131093 LMP131093:LMQ131093 LWL131093:LWM131093 MGH131093:MGI131093 MQD131093:MQE131093 MZZ131093:NAA131093 NJV131093:NJW131093 NTR131093:NTS131093 ODN131093:ODO131093 ONJ131093:ONK131093 OXF131093:OXG131093 PHB131093:PHC131093 PQX131093:PQY131093 QAT131093:QAU131093 QKP131093:QKQ131093 QUL131093:QUM131093 REH131093:REI131093 ROD131093:ROE131093 RXZ131093:RYA131093 SHV131093:SHW131093 SRR131093:SRS131093 TBN131093:TBO131093 TLJ131093:TLK131093 TVF131093:TVG131093 UFB131093:UFC131093 UOX131093:UOY131093 UYT131093:UYU131093 VIP131093:VIQ131093 VSL131093:VSM131093 WCH131093:WCI131093 WMD131093:WME131093 WVZ131093:WWA131093 R196629:S196629 JN196629:JO196629 TJ196629:TK196629 ADF196629:ADG196629 ANB196629:ANC196629 AWX196629:AWY196629 BGT196629:BGU196629 BQP196629:BQQ196629 CAL196629:CAM196629 CKH196629:CKI196629 CUD196629:CUE196629 DDZ196629:DEA196629 DNV196629:DNW196629 DXR196629:DXS196629 EHN196629:EHO196629 ERJ196629:ERK196629 FBF196629:FBG196629 FLB196629:FLC196629 FUX196629:FUY196629 GET196629:GEU196629 GOP196629:GOQ196629 GYL196629:GYM196629 HIH196629:HII196629 HSD196629:HSE196629 IBZ196629:ICA196629 ILV196629:ILW196629 IVR196629:IVS196629 JFN196629:JFO196629 JPJ196629:JPK196629 JZF196629:JZG196629 KJB196629:KJC196629 KSX196629:KSY196629 LCT196629:LCU196629 LMP196629:LMQ196629 LWL196629:LWM196629 MGH196629:MGI196629 MQD196629:MQE196629 MZZ196629:NAA196629 NJV196629:NJW196629 NTR196629:NTS196629 ODN196629:ODO196629 ONJ196629:ONK196629 OXF196629:OXG196629 PHB196629:PHC196629 PQX196629:PQY196629 QAT196629:QAU196629 QKP196629:QKQ196629 QUL196629:QUM196629 REH196629:REI196629 ROD196629:ROE196629 RXZ196629:RYA196629 SHV196629:SHW196629 SRR196629:SRS196629 TBN196629:TBO196629 TLJ196629:TLK196629 TVF196629:TVG196629 UFB196629:UFC196629 UOX196629:UOY196629 UYT196629:UYU196629 VIP196629:VIQ196629 VSL196629:VSM196629 WCH196629:WCI196629 WMD196629:WME196629 WVZ196629:WWA196629 R262165:S262165 JN262165:JO262165 TJ262165:TK262165 ADF262165:ADG262165 ANB262165:ANC262165 AWX262165:AWY262165 BGT262165:BGU262165 BQP262165:BQQ262165 CAL262165:CAM262165 CKH262165:CKI262165 CUD262165:CUE262165 DDZ262165:DEA262165 DNV262165:DNW262165 DXR262165:DXS262165 EHN262165:EHO262165 ERJ262165:ERK262165 FBF262165:FBG262165 FLB262165:FLC262165 FUX262165:FUY262165 GET262165:GEU262165 GOP262165:GOQ262165 GYL262165:GYM262165 HIH262165:HII262165 HSD262165:HSE262165 IBZ262165:ICA262165 ILV262165:ILW262165 IVR262165:IVS262165 JFN262165:JFO262165 JPJ262165:JPK262165 JZF262165:JZG262165 KJB262165:KJC262165 KSX262165:KSY262165 LCT262165:LCU262165 LMP262165:LMQ262165 LWL262165:LWM262165 MGH262165:MGI262165 MQD262165:MQE262165 MZZ262165:NAA262165 NJV262165:NJW262165 NTR262165:NTS262165 ODN262165:ODO262165 ONJ262165:ONK262165 OXF262165:OXG262165 PHB262165:PHC262165 PQX262165:PQY262165 QAT262165:QAU262165 QKP262165:QKQ262165 QUL262165:QUM262165 REH262165:REI262165 ROD262165:ROE262165 RXZ262165:RYA262165 SHV262165:SHW262165 SRR262165:SRS262165 TBN262165:TBO262165 TLJ262165:TLK262165 TVF262165:TVG262165 UFB262165:UFC262165 UOX262165:UOY262165 UYT262165:UYU262165 VIP262165:VIQ262165 VSL262165:VSM262165 WCH262165:WCI262165 WMD262165:WME262165 WVZ262165:WWA262165 R327701:S327701 JN327701:JO327701 TJ327701:TK327701 ADF327701:ADG327701 ANB327701:ANC327701 AWX327701:AWY327701 BGT327701:BGU327701 BQP327701:BQQ327701 CAL327701:CAM327701 CKH327701:CKI327701 CUD327701:CUE327701 DDZ327701:DEA327701 DNV327701:DNW327701 DXR327701:DXS327701 EHN327701:EHO327701 ERJ327701:ERK327701 FBF327701:FBG327701 FLB327701:FLC327701 FUX327701:FUY327701 GET327701:GEU327701 GOP327701:GOQ327701 GYL327701:GYM327701 HIH327701:HII327701 HSD327701:HSE327701 IBZ327701:ICA327701 ILV327701:ILW327701 IVR327701:IVS327701 JFN327701:JFO327701 JPJ327701:JPK327701 JZF327701:JZG327701 KJB327701:KJC327701 KSX327701:KSY327701 LCT327701:LCU327701 LMP327701:LMQ327701 LWL327701:LWM327701 MGH327701:MGI327701 MQD327701:MQE327701 MZZ327701:NAA327701 NJV327701:NJW327701 NTR327701:NTS327701 ODN327701:ODO327701 ONJ327701:ONK327701 OXF327701:OXG327701 PHB327701:PHC327701 PQX327701:PQY327701 QAT327701:QAU327701 QKP327701:QKQ327701 QUL327701:QUM327701 REH327701:REI327701 ROD327701:ROE327701 RXZ327701:RYA327701 SHV327701:SHW327701 SRR327701:SRS327701 TBN327701:TBO327701 TLJ327701:TLK327701 TVF327701:TVG327701 UFB327701:UFC327701 UOX327701:UOY327701 UYT327701:UYU327701 VIP327701:VIQ327701 VSL327701:VSM327701 WCH327701:WCI327701 WMD327701:WME327701 WVZ327701:WWA327701 R393237:S393237 JN393237:JO393237 TJ393237:TK393237 ADF393237:ADG393237 ANB393237:ANC393237 AWX393237:AWY393237 BGT393237:BGU393237 BQP393237:BQQ393237 CAL393237:CAM393237 CKH393237:CKI393237 CUD393237:CUE393237 DDZ393237:DEA393237 DNV393237:DNW393237 DXR393237:DXS393237 EHN393237:EHO393237 ERJ393237:ERK393237 FBF393237:FBG393237 FLB393237:FLC393237 FUX393237:FUY393237 GET393237:GEU393237 GOP393237:GOQ393237 GYL393237:GYM393237 HIH393237:HII393237 HSD393237:HSE393237 IBZ393237:ICA393237 ILV393237:ILW393237 IVR393237:IVS393237 JFN393237:JFO393237 JPJ393237:JPK393237 JZF393237:JZG393237 KJB393237:KJC393237 KSX393237:KSY393237 LCT393237:LCU393237 LMP393237:LMQ393237 LWL393237:LWM393237 MGH393237:MGI393237 MQD393237:MQE393237 MZZ393237:NAA393237 NJV393237:NJW393237 NTR393237:NTS393237 ODN393237:ODO393237 ONJ393237:ONK393237 OXF393237:OXG393237 PHB393237:PHC393237 PQX393237:PQY393237 QAT393237:QAU393237 QKP393237:QKQ393237 QUL393237:QUM393237 REH393237:REI393237 ROD393237:ROE393237 RXZ393237:RYA393237 SHV393237:SHW393237 SRR393237:SRS393237 TBN393237:TBO393237 TLJ393237:TLK393237 TVF393237:TVG393237 UFB393237:UFC393237 UOX393237:UOY393237 UYT393237:UYU393237 VIP393237:VIQ393237 VSL393237:VSM393237 WCH393237:WCI393237 WMD393237:WME393237 WVZ393237:WWA393237 R458773:S458773 JN458773:JO458773 TJ458773:TK458773 ADF458773:ADG458773 ANB458773:ANC458773 AWX458773:AWY458773 BGT458773:BGU458773 BQP458773:BQQ458773 CAL458773:CAM458773 CKH458773:CKI458773 CUD458773:CUE458773 DDZ458773:DEA458773 DNV458773:DNW458773 DXR458773:DXS458773 EHN458773:EHO458773 ERJ458773:ERK458773 FBF458773:FBG458773 FLB458773:FLC458773 FUX458773:FUY458773 GET458773:GEU458773 GOP458773:GOQ458773 GYL458773:GYM458773 HIH458773:HII458773 HSD458773:HSE458773 IBZ458773:ICA458773 ILV458773:ILW458773 IVR458773:IVS458773 JFN458773:JFO458773 JPJ458773:JPK458773 JZF458773:JZG458773 KJB458773:KJC458773 KSX458773:KSY458773 LCT458773:LCU458773 LMP458773:LMQ458773 LWL458773:LWM458773 MGH458773:MGI458773 MQD458773:MQE458773 MZZ458773:NAA458773 NJV458773:NJW458773 NTR458773:NTS458773 ODN458773:ODO458773 ONJ458773:ONK458773 OXF458773:OXG458773 PHB458773:PHC458773 PQX458773:PQY458773 QAT458773:QAU458773 QKP458773:QKQ458773 QUL458773:QUM458773 REH458773:REI458773 ROD458773:ROE458773 RXZ458773:RYA458773 SHV458773:SHW458773 SRR458773:SRS458773 TBN458773:TBO458773 TLJ458773:TLK458773 TVF458773:TVG458773 UFB458773:UFC458773 UOX458773:UOY458773 UYT458773:UYU458773 VIP458773:VIQ458773 VSL458773:VSM458773 WCH458773:WCI458773 WMD458773:WME458773 WVZ458773:WWA458773 R524309:S524309 JN524309:JO524309 TJ524309:TK524309 ADF524309:ADG524309 ANB524309:ANC524309 AWX524309:AWY524309 BGT524309:BGU524309 BQP524309:BQQ524309 CAL524309:CAM524309 CKH524309:CKI524309 CUD524309:CUE524309 DDZ524309:DEA524309 DNV524309:DNW524309 DXR524309:DXS524309 EHN524309:EHO524309 ERJ524309:ERK524309 FBF524309:FBG524309 FLB524309:FLC524309 FUX524309:FUY524309 GET524309:GEU524309 GOP524309:GOQ524309 GYL524309:GYM524309 HIH524309:HII524309 HSD524309:HSE524309 IBZ524309:ICA524309 ILV524309:ILW524309 IVR524309:IVS524309 JFN524309:JFO524309 JPJ524309:JPK524309 JZF524309:JZG524309 KJB524309:KJC524309 KSX524309:KSY524309 LCT524309:LCU524309 LMP524309:LMQ524309 LWL524309:LWM524309 MGH524309:MGI524309 MQD524309:MQE524309 MZZ524309:NAA524309 NJV524309:NJW524309 NTR524309:NTS524309 ODN524309:ODO524309 ONJ524309:ONK524309 OXF524309:OXG524309 PHB524309:PHC524309 PQX524309:PQY524309 QAT524309:QAU524309 QKP524309:QKQ524309 QUL524309:QUM524309 REH524309:REI524309 ROD524309:ROE524309 RXZ524309:RYA524309 SHV524309:SHW524309 SRR524309:SRS524309 TBN524309:TBO524309 TLJ524309:TLK524309 TVF524309:TVG524309 UFB524309:UFC524309 UOX524309:UOY524309 UYT524309:UYU524309 VIP524309:VIQ524309 VSL524309:VSM524309 WCH524309:WCI524309 WMD524309:WME524309 WVZ524309:WWA524309 R589845:S589845 JN589845:JO589845 TJ589845:TK589845 ADF589845:ADG589845 ANB589845:ANC589845 AWX589845:AWY589845 BGT589845:BGU589845 BQP589845:BQQ589845 CAL589845:CAM589845 CKH589845:CKI589845 CUD589845:CUE589845 DDZ589845:DEA589845 DNV589845:DNW589845 DXR589845:DXS589845 EHN589845:EHO589845 ERJ589845:ERK589845 FBF589845:FBG589845 FLB589845:FLC589845 FUX589845:FUY589845 GET589845:GEU589845 GOP589845:GOQ589845 GYL589845:GYM589845 HIH589845:HII589845 HSD589845:HSE589845 IBZ589845:ICA589845 ILV589845:ILW589845 IVR589845:IVS589845 JFN589845:JFO589845 JPJ589845:JPK589845 JZF589845:JZG589845 KJB589845:KJC589845 KSX589845:KSY589845 LCT589845:LCU589845 LMP589845:LMQ589845 LWL589845:LWM589845 MGH589845:MGI589845 MQD589845:MQE589845 MZZ589845:NAA589845 NJV589845:NJW589845 NTR589845:NTS589845 ODN589845:ODO589845 ONJ589845:ONK589845 OXF589845:OXG589845 PHB589845:PHC589845 PQX589845:PQY589845 QAT589845:QAU589845 QKP589845:QKQ589845 QUL589845:QUM589845 REH589845:REI589845 ROD589845:ROE589845 RXZ589845:RYA589845 SHV589845:SHW589845 SRR589845:SRS589845 TBN589845:TBO589845 TLJ589845:TLK589845 TVF589845:TVG589845 UFB589845:UFC589845 UOX589845:UOY589845 UYT589845:UYU589845 VIP589845:VIQ589845 VSL589845:VSM589845 WCH589845:WCI589845 WMD589845:WME589845 WVZ589845:WWA589845 R655381:S655381 JN655381:JO655381 TJ655381:TK655381 ADF655381:ADG655381 ANB655381:ANC655381 AWX655381:AWY655381 BGT655381:BGU655381 BQP655381:BQQ655381 CAL655381:CAM655381 CKH655381:CKI655381 CUD655381:CUE655381 DDZ655381:DEA655381 DNV655381:DNW655381 DXR655381:DXS655381 EHN655381:EHO655381 ERJ655381:ERK655381 FBF655381:FBG655381 FLB655381:FLC655381 FUX655381:FUY655381 GET655381:GEU655381 GOP655381:GOQ655381 GYL655381:GYM655381 HIH655381:HII655381 HSD655381:HSE655381 IBZ655381:ICA655381 ILV655381:ILW655381 IVR655381:IVS655381 JFN655381:JFO655381 JPJ655381:JPK655381 JZF655381:JZG655381 KJB655381:KJC655381 KSX655381:KSY655381 LCT655381:LCU655381 LMP655381:LMQ655381 LWL655381:LWM655381 MGH655381:MGI655381 MQD655381:MQE655381 MZZ655381:NAA655381 NJV655381:NJW655381 NTR655381:NTS655381 ODN655381:ODO655381 ONJ655381:ONK655381 OXF655381:OXG655381 PHB655381:PHC655381 PQX655381:PQY655381 QAT655381:QAU655381 QKP655381:QKQ655381 QUL655381:QUM655381 REH655381:REI655381 ROD655381:ROE655381 RXZ655381:RYA655381 SHV655381:SHW655381 SRR655381:SRS655381 TBN655381:TBO655381 TLJ655381:TLK655381 TVF655381:TVG655381 UFB655381:UFC655381 UOX655381:UOY655381 UYT655381:UYU655381 VIP655381:VIQ655381 VSL655381:VSM655381 WCH655381:WCI655381 WMD655381:WME655381 WVZ655381:WWA655381 R720917:S720917 JN720917:JO720917 TJ720917:TK720917 ADF720917:ADG720917 ANB720917:ANC720917 AWX720917:AWY720917 BGT720917:BGU720917 BQP720917:BQQ720917 CAL720917:CAM720917 CKH720917:CKI720917 CUD720917:CUE720917 DDZ720917:DEA720917 DNV720917:DNW720917 DXR720917:DXS720917 EHN720917:EHO720917 ERJ720917:ERK720917 FBF720917:FBG720917 FLB720917:FLC720917 FUX720917:FUY720917 GET720917:GEU720917 GOP720917:GOQ720917 GYL720917:GYM720917 HIH720917:HII720917 HSD720917:HSE720917 IBZ720917:ICA720917 ILV720917:ILW720917 IVR720917:IVS720917 JFN720917:JFO720917 JPJ720917:JPK720917 JZF720917:JZG720917 KJB720917:KJC720917 KSX720917:KSY720917 LCT720917:LCU720917 LMP720917:LMQ720917 LWL720917:LWM720917 MGH720917:MGI720917 MQD720917:MQE720917 MZZ720917:NAA720917 NJV720917:NJW720917 NTR720917:NTS720917 ODN720917:ODO720917 ONJ720917:ONK720917 OXF720917:OXG720917 PHB720917:PHC720917 PQX720917:PQY720917 QAT720917:QAU720917 QKP720917:QKQ720917 QUL720917:QUM720917 REH720917:REI720917 ROD720917:ROE720917 RXZ720917:RYA720917 SHV720917:SHW720917 SRR720917:SRS720917 TBN720917:TBO720917 TLJ720917:TLK720917 TVF720917:TVG720917 UFB720917:UFC720917 UOX720917:UOY720917 UYT720917:UYU720917 VIP720917:VIQ720917 VSL720917:VSM720917 WCH720917:WCI720917 WMD720917:WME720917 WVZ720917:WWA720917 R786453:S786453 JN786453:JO786453 TJ786453:TK786453 ADF786453:ADG786453 ANB786453:ANC786453 AWX786453:AWY786453 BGT786453:BGU786453 BQP786453:BQQ786453 CAL786453:CAM786453 CKH786453:CKI786453 CUD786453:CUE786453 DDZ786453:DEA786453 DNV786453:DNW786453 DXR786453:DXS786453 EHN786453:EHO786453 ERJ786453:ERK786453 FBF786453:FBG786453 FLB786453:FLC786453 FUX786453:FUY786453 GET786453:GEU786453 GOP786453:GOQ786453 GYL786453:GYM786453 HIH786453:HII786453 HSD786453:HSE786453 IBZ786453:ICA786453 ILV786453:ILW786453 IVR786453:IVS786453 JFN786453:JFO786453 JPJ786453:JPK786453 JZF786453:JZG786453 KJB786453:KJC786453 KSX786453:KSY786453 LCT786453:LCU786453 LMP786453:LMQ786453 LWL786453:LWM786453 MGH786453:MGI786453 MQD786453:MQE786453 MZZ786453:NAA786453 NJV786453:NJW786453 NTR786453:NTS786453 ODN786453:ODO786453 ONJ786453:ONK786453 OXF786453:OXG786453 PHB786453:PHC786453 PQX786453:PQY786453 QAT786453:QAU786453 QKP786453:QKQ786453 QUL786453:QUM786453 REH786453:REI786453 ROD786453:ROE786453 RXZ786453:RYA786453 SHV786453:SHW786453 SRR786453:SRS786453 TBN786453:TBO786453 TLJ786453:TLK786453 TVF786453:TVG786453 UFB786453:UFC786453 UOX786453:UOY786453 UYT786453:UYU786453 VIP786453:VIQ786453 VSL786453:VSM786453 WCH786453:WCI786453 WMD786453:WME786453 WVZ786453:WWA786453 R851989:S851989 JN851989:JO851989 TJ851989:TK851989 ADF851989:ADG851989 ANB851989:ANC851989 AWX851989:AWY851989 BGT851989:BGU851989 BQP851989:BQQ851989 CAL851989:CAM851989 CKH851989:CKI851989 CUD851989:CUE851989 DDZ851989:DEA851989 DNV851989:DNW851989 DXR851989:DXS851989 EHN851989:EHO851989 ERJ851989:ERK851989 FBF851989:FBG851989 FLB851989:FLC851989 FUX851989:FUY851989 GET851989:GEU851989 GOP851989:GOQ851989 GYL851989:GYM851989 HIH851989:HII851989 HSD851989:HSE851989 IBZ851989:ICA851989 ILV851989:ILW851989 IVR851989:IVS851989 JFN851989:JFO851989 JPJ851989:JPK851989 JZF851989:JZG851989 KJB851989:KJC851989 KSX851989:KSY851989 LCT851989:LCU851989 LMP851989:LMQ851989 LWL851989:LWM851989 MGH851989:MGI851989 MQD851989:MQE851989 MZZ851989:NAA851989 NJV851989:NJW851989 NTR851989:NTS851989 ODN851989:ODO851989 ONJ851989:ONK851989 OXF851989:OXG851989 PHB851989:PHC851989 PQX851989:PQY851989 QAT851989:QAU851989 QKP851989:QKQ851989 QUL851989:QUM851989 REH851989:REI851989 ROD851989:ROE851989 RXZ851989:RYA851989 SHV851989:SHW851989 SRR851989:SRS851989 TBN851989:TBO851989 TLJ851989:TLK851989 TVF851989:TVG851989 UFB851989:UFC851989 UOX851989:UOY851989 UYT851989:UYU851989 VIP851989:VIQ851989 VSL851989:VSM851989 WCH851989:WCI851989 WMD851989:WME851989 WVZ851989:WWA851989 R917525:S917525 JN917525:JO917525 TJ917525:TK917525 ADF917525:ADG917525 ANB917525:ANC917525 AWX917525:AWY917525 BGT917525:BGU917525 BQP917525:BQQ917525 CAL917525:CAM917525 CKH917525:CKI917525 CUD917525:CUE917525 DDZ917525:DEA917525 DNV917525:DNW917525 DXR917525:DXS917525 EHN917525:EHO917525 ERJ917525:ERK917525 FBF917525:FBG917525 FLB917525:FLC917525 FUX917525:FUY917525 GET917525:GEU917525 GOP917525:GOQ917525 GYL917525:GYM917525 HIH917525:HII917525 HSD917525:HSE917525 IBZ917525:ICA917525 ILV917525:ILW917525 IVR917525:IVS917525 JFN917525:JFO917525 JPJ917525:JPK917525 JZF917525:JZG917525 KJB917525:KJC917525 KSX917525:KSY917525 LCT917525:LCU917525 LMP917525:LMQ917525 LWL917525:LWM917525 MGH917525:MGI917525 MQD917525:MQE917525 MZZ917525:NAA917525 NJV917525:NJW917525 NTR917525:NTS917525 ODN917525:ODO917525 ONJ917525:ONK917525 OXF917525:OXG917525 PHB917525:PHC917525 PQX917525:PQY917525 QAT917525:QAU917525 QKP917525:QKQ917525 QUL917525:QUM917525 REH917525:REI917525 ROD917525:ROE917525 RXZ917525:RYA917525 SHV917525:SHW917525 SRR917525:SRS917525 TBN917525:TBO917525 TLJ917525:TLK917525 TVF917525:TVG917525 UFB917525:UFC917525 UOX917525:UOY917525 UYT917525:UYU917525 VIP917525:VIQ917525 VSL917525:VSM917525 WCH917525:WCI917525 WMD917525:WME917525 WVZ917525:WWA917525 R983061:S983061 JN983061:JO983061 TJ983061:TK983061 ADF983061:ADG983061 ANB983061:ANC983061 AWX983061:AWY983061 BGT983061:BGU983061 BQP983061:BQQ983061 CAL983061:CAM983061 CKH983061:CKI983061 CUD983061:CUE983061 DDZ983061:DEA983061 DNV983061:DNW983061 DXR983061:DXS983061 EHN983061:EHO983061 ERJ983061:ERK983061 FBF983061:FBG983061 FLB983061:FLC983061 FUX983061:FUY983061 GET983061:GEU983061 GOP983061:GOQ983061 GYL983061:GYM983061 HIH983061:HII983061 HSD983061:HSE983061 IBZ983061:ICA983061 ILV983061:ILW983061 IVR983061:IVS983061 JFN983061:JFO983061 JPJ983061:JPK983061 JZF983061:JZG983061 KJB983061:KJC983061 KSX983061:KSY983061 LCT983061:LCU983061 LMP983061:LMQ983061 LWL983061:LWM983061 MGH983061:MGI983061 MQD983061:MQE983061 MZZ983061:NAA983061 NJV983061:NJW983061 NTR983061:NTS983061 ODN983061:ODO983061 ONJ983061:ONK983061 OXF983061:OXG983061 PHB983061:PHC983061 PQX983061:PQY983061 QAT983061:QAU983061 QKP983061:QKQ983061 QUL983061:QUM983061 REH983061:REI983061 ROD983061:ROE983061 RXZ983061:RYA983061 SHV983061:SHW983061 SRR983061:SRS983061 TBN983061:TBO983061 TLJ983061:TLK983061 TVF983061:TVG983061 UFB983061:UFC983061 UOX983061:UOY983061 UYT983061:UYU983061 VIP983061:VIQ983061 VSL983061:VSM983061 WCH983061:WCI983061 WMD983061:WME983061 WVZ983061:WWA983061 T10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T65546 JP65546 TL65546 ADH65546 AND65546 AWZ65546 BGV65546 BQR65546 CAN65546 CKJ65546 CUF65546 DEB65546 DNX65546 DXT65546 EHP65546 ERL65546 FBH65546 FLD65546 FUZ65546 GEV65546 GOR65546 GYN65546 HIJ65546 HSF65546 ICB65546 ILX65546 IVT65546 JFP65546 JPL65546 JZH65546 KJD65546 KSZ65546 LCV65546 LMR65546 LWN65546 MGJ65546 MQF65546 NAB65546 NJX65546 NTT65546 ODP65546 ONL65546 OXH65546 PHD65546 PQZ65546 QAV65546 QKR65546 QUN65546 REJ65546 ROF65546 RYB65546 SHX65546 SRT65546 TBP65546 TLL65546 TVH65546 UFD65546 UOZ65546 UYV65546 VIR65546 VSN65546 WCJ65546 WMF65546 WWB65546 T131082 JP131082 TL131082 ADH131082 AND131082 AWZ131082 BGV131082 BQR131082 CAN131082 CKJ131082 CUF131082 DEB131082 DNX131082 DXT131082 EHP131082 ERL131082 FBH131082 FLD131082 FUZ131082 GEV131082 GOR131082 GYN131082 HIJ131082 HSF131082 ICB131082 ILX131082 IVT131082 JFP131082 JPL131082 JZH131082 KJD131082 KSZ131082 LCV131082 LMR131082 LWN131082 MGJ131082 MQF131082 NAB131082 NJX131082 NTT131082 ODP131082 ONL131082 OXH131082 PHD131082 PQZ131082 QAV131082 QKR131082 QUN131082 REJ131082 ROF131082 RYB131082 SHX131082 SRT131082 TBP131082 TLL131082 TVH131082 UFD131082 UOZ131082 UYV131082 VIR131082 VSN131082 WCJ131082 WMF131082 WWB131082 T196618 JP196618 TL196618 ADH196618 AND196618 AWZ196618 BGV196618 BQR196618 CAN196618 CKJ196618 CUF196618 DEB196618 DNX196618 DXT196618 EHP196618 ERL196618 FBH196618 FLD196618 FUZ196618 GEV196618 GOR196618 GYN196618 HIJ196618 HSF196618 ICB196618 ILX196618 IVT196618 JFP196618 JPL196618 JZH196618 KJD196618 KSZ196618 LCV196618 LMR196618 LWN196618 MGJ196618 MQF196618 NAB196618 NJX196618 NTT196618 ODP196618 ONL196618 OXH196618 PHD196618 PQZ196618 QAV196618 QKR196618 QUN196618 REJ196618 ROF196618 RYB196618 SHX196618 SRT196618 TBP196618 TLL196618 TVH196618 UFD196618 UOZ196618 UYV196618 VIR196618 VSN196618 WCJ196618 WMF196618 WWB196618 T262154 JP262154 TL262154 ADH262154 AND262154 AWZ262154 BGV262154 BQR262154 CAN262154 CKJ262154 CUF262154 DEB262154 DNX262154 DXT262154 EHP262154 ERL262154 FBH262154 FLD262154 FUZ262154 GEV262154 GOR262154 GYN262154 HIJ262154 HSF262154 ICB262154 ILX262154 IVT262154 JFP262154 JPL262154 JZH262154 KJD262154 KSZ262154 LCV262154 LMR262154 LWN262154 MGJ262154 MQF262154 NAB262154 NJX262154 NTT262154 ODP262154 ONL262154 OXH262154 PHD262154 PQZ262154 QAV262154 QKR262154 QUN262154 REJ262154 ROF262154 RYB262154 SHX262154 SRT262154 TBP262154 TLL262154 TVH262154 UFD262154 UOZ262154 UYV262154 VIR262154 VSN262154 WCJ262154 WMF262154 WWB262154 T327690 JP327690 TL327690 ADH327690 AND327690 AWZ327690 BGV327690 BQR327690 CAN327690 CKJ327690 CUF327690 DEB327690 DNX327690 DXT327690 EHP327690 ERL327690 FBH327690 FLD327690 FUZ327690 GEV327690 GOR327690 GYN327690 HIJ327690 HSF327690 ICB327690 ILX327690 IVT327690 JFP327690 JPL327690 JZH327690 KJD327690 KSZ327690 LCV327690 LMR327690 LWN327690 MGJ327690 MQF327690 NAB327690 NJX327690 NTT327690 ODP327690 ONL327690 OXH327690 PHD327690 PQZ327690 QAV327690 QKR327690 QUN327690 REJ327690 ROF327690 RYB327690 SHX327690 SRT327690 TBP327690 TLL327690 TVH327690 UFD327690 UOZ327690 UYV327690 VIR327690 VSN327690 WCJ327690 WMF327690 WWB327690 T393226 JP393226 TL393226 ADH393226 AND393226 AWZ393226 BGV393226 BQR393226 CAN393226 CKJ393226 CUF393226 DEB393226 DNX393226 DXT393226 EHP393226 ERL393226 FBH393226 FLD393226 FUZ393226 GEV393226 GOR393226 GYN393226 HIJ393226 HSF393226 ICB393226 ILX393226 IVT393226 JFP393226 JPL393226 JZH393226 KJD393226 KSZ393226 LCV393226 LMR393226 LWN393226 MGJ393226 MQF393226 NAB393226 NJX393226 NTT393226 ODP393226 ONL393226 OXH393226 PHD393226 PQZ393226 QAV393226 QKR393226 QUN393226 REJ393226 ROF393226 RYB393226 SHX393226 SRT393226 TBP393226 TLL393226 TVH393226 UFD393226 UOZ393226 UYV393226 VIR393226 VSN393226 WCJ393226 WMF393226 WWB393226 T458762 JP458762 TL458762 ADH458762 AND458762 AWZ458762 BGV458762 BQR458762 CAN458762 CKJ458762 CUF458762 DEB458762 DNX458762 DXT458762 EHP458762 ERL458762 FBH458762 FLD458762 FUZ458762 GEV458762 GOR458762 GYN458762 HIJ458762 HSF458762 ICB458762 ILX458762 IVT458762 JFP458762 JPL458762 JZH458762 KJD458762 KSZ458762 LCV458762 LMR458762 LWN458762 MGJ458762 MQF458762 NAB458762 NJX458762 NTT458762 ODP458762 ONL458762 OXH458762 PHD458762 PQZ458762 QAV458762 QKR458762 QUN458762 REJ458762 ROF458762 RYB458762 SHX458762 SRT458762 TBP458762 TLL458762 TVH458762 UFD458762 UOZ458762 UYV458762 VIR458762 VSN458762 WCJ458762 WMF458762 WWB458762 T524298 JP524298 TL524298 ADH524298 AND524298 AWZ524298 BGV524298 BQR524298 CAN524298 CKJ524298 CUF524298 DEB524298 DNX524298 DXT524298 EHP524298 ERL524298 FBH524298 FLD524298 FUZ524298 GEV524298 GOR524298 GYN524298 HIJ524298 HSF524298 ICB524298 ILX524298 IVT524298 JFP524298 JPL524298 JZH524298 KJD524298 KSZ524298 LCV524298 LMR524298 LWN524298 MGJ524298 MQF524298 NAB524298 NJX524298 NTT524298 ODP524298 ONL524298 OXH524298 PHD524298 PQZ524298 QAV524298 QKR524298 QUN524298 REJ524298 ROF524298 RYB524298 SHX524298 SRT524298 TBP524298 TLL524298 TVH524298 UFD524298 UOZ524298 UYV524298 VIR524298 VSN524298 WCJ524298 WMF524298 WWB524298 T589834 JP589834 TL589834 ADH589834 AND589834 AWZ589834 BGV589834 BQR589834 CAN589834 CKJ589834 CUF589834 DEB589834 DNX589834 DXT589834 EHP589834 ERL589834 FBH589834 FLD589834 FUZ589834 GEV589834 GOR589834 GYN589834 HIJ589834 HSF589834 ICB589834 ILX589834 IVT589834 JFP589834 JPL589834 JZH589834 KJD589834 KSZ589834 LCV589834 LMR589834 LWN589834 MGJ589834 MQF589834 NAB589834 NJX589834 NTT589834 ODP589834 ONL589834 OXH589834 PHD589834 PQZ589834 QAV589834 QKR589834 QUN589834 REJ589834 ROF589834 RYB589834 SHX589834 SRT589834 TBP589834 TLL589834 TVH589834 UFD589834 UOZ589834 UYV589834 VIR589834 VSN589834 WCJ589834 WMF589834 WWB589834 T655370 JP655370 TL655370 ADH655370 AND655370 AWZ655370 BGV655370 BQR655370 CAN655370 CKJ655370 CUF655370 DEB655370 DNX655370 DXT655370 EHP655370 ERL655370 FBH655370 FLD655370 FUZ655370 GEV655370 GOR655370 GYN655370 HIJ655370 HSF655370 ICB655370 ILX655370 IVT655370 JFP655370 JPL655370 JZH655370 KJD655370 KSZ655370 LCV655370 LMR655370 LWN655370 MGJ655370 MQF655370 NAB655370 NJX655370 NTT655370 ODP655370 ONL655370 OXH655370 PHD655370 PQZ655370 QAV655370 QKR655370 QUN655370 REJ655370 ROF655370 RYB655370 SHX655370 SRT655370 TBP655370 TLL655370 TVH655370 UFD655370 UOZ655370 UYV655370 VIR655370 VSN655370 WCJ655370 WMF655370 WWB655370 T720906 JP720906 TL720906 ADH720906 AND720906 AWZ720906 BGV720906 BQR720906 CAN720906 CKJ720906 CUF720906 DEB720906 DNX720906 DXT720906 EHP720906 ERL720906 FBH720906 FLD720906 FUZ720906 GEV720906 GOR720906 GYN720906 HIJ720906 HSF720906 ICB720906 ILX720906 IVT720906 JFP720906 JPL720906 JZH720906 KJD720906 KSZ720906 LCV720906 LMR720906 LWN720906 MGJ720906 MQF720906 NAB720906 NJX720906 NTT720906 ODP720906 ONL720906 OXH720906 PHD720906 PQZ720906 QAV720906 QKR720906 QUN720906 REJ720906 ROF720906 RYB720906 SHX720906 SRT720906 TBP720906 TLL720906 TVH720906 UFD720906 UOZ720906 UYV720906 VIR720906 VSN720906 WCJ720906 WMF720906 WWB720906 T786442 JP786442 TL786442 ADH786442 AND786442 AWZ786442 BGV786442 BQR786442 CAN786442 CKJ786442 CUF786442 DEB786442 DNX786442 DXT786442 EHP786442 ERL786442 FBH786442 FLD786442 FUZ786442 GEV786442 GOR786442 GYN786442 HIJ786442 HSF786442 ICB786442 ILX786442 IVT786442 JFP786442 JPL786442 JZH786442 KJD786442 KSZ786442 LCV786442 LMR786442 LWN786442 MGJ786442 MQF786442 NAB786442 NJX786442 NTT786442 ODP786442 ONL786442 OXH786442 PHD786442 PQZ786442 QAV786442 QKR786442 QUN786442 REJ786442 ROF786442 RYB786442 SHX786442 SRT786442 TBP786442 TLL786442 TVH786442 UFD786442 UOZ786442 UYV786442 VIR786442 VSN786442 WCJ786442 WMF786442 WWB786442 T851978 JP851978 TL851978 ADH851978 AND851978 AWZ851978 BGV851978 BQR851978 CAN851978 CKJ851978 CUF851978 DEB851978 DNX851978 DXT851978 EHP851978 ERL851978 FBH851978 FLD851978 FUZ851978 GEV851978 GOR851978 GYN851978 HIJ851978 HSF851978 ICB851978 ILX851978 IVT851978 JFP851978 JPL851978 JZH851978 KJD851978 KSZ851978 LCV851978 LMR851978 LWN851978 MGJ851978 MQF851978 NAB851978 NJX851978 NTT851978 ODP851978 ONL851978 OXH851978 PHD851978 PQZ851978 QAV851978 QKR851978 QUN851978 REJ851978 ROF851978 RYB851978 SHX851978 SRT851978 TBP851978 TLL851978 TVH851978 UFD851978 UOZ851978 UYV851978 VIR851978 VSN851978 WCJ851978 WMF851978 WWB851978 T917514 JP917514 TL917514 ADH917514 AND917514 AWZ917514 BGV917514 BQR917514 CAN917514 CKJ917514 CUF917514 DEB917514 DNX917514 DXT917514 EHP917514 ERL917514 FBH917514 FLD917514 FUZ917514 GEV917514 GOR917514 GYN917514 HIJ917514 HSF917514 ICB917514 ILX917514 IVT917514 JFP917514 JPL917514 JZH917514 KJD917514 KSZ917514 LCV917514 LMR917514 LWN917514 MGJ917514 MQF917514 NAB917514 NJX917514 NTT917514 ODP917514 ONL917514 OXH917514 PHD917514 PQZ917514 QAV917514 QKR917514 QUN917514 REJ917514 ROF917514 RYB917514 SHX917514 SRT917514 TBP917514 TLL917514 TVH917514 UFD917514 UOZ917514 UYV917514 VIR917514 VSN917514 WCJ917514 WMF917514 WWB917514 T983050 JP983050 TL983050 ADH983050 AND983050 AWZ983050 BGV983050 BQR983050 CAN983050 CKJ983050 CUF983050 DEB983050 DNX983050 DXT983050 EHP983050 ERL983050 FBH983050 FLD983050 FUZ983050 GEV983050 GOR983050 GYN983050 HIJ983050 HSF983050 ICB983050 ILX983050 IVT983050 JFP983050 JPL983050 JZH983050 KJD983050 KSZ983050 LCV983050 LMR983050 LWN983050 MGJ983050 MQF983050 NAB983050 NJX983050 NTT983050 ODP983050 ONL983050 OXH983050 PHD983050 PQZ983050 QAV983050 QKR983050 QUN983050 REJ983050 ROF983050 RYB983050 SHX983050 SRT983050 TBP983050 TLL983050 TVH983050 UFD983050 UOZ983050 UYV983050 VIR983050 VSN983050 WCJ983050 WMF983050 WWB983050 AE6:AF6 KA8:KB8 TW8:TX8 ADS8:ADT8 ANO8:ANP8 AXK8:AXL8 BHG8:BHH8 BRC8:BRD8 CAY8:CAZ8 CKU8:CKV8 CUQ8:CUR8 DEM8:DEN8 DOI8:DOJ8 DYE8:DYF8 EIA8:EIB8 ERW8:ERX8 FBS8:FBT8 FLO8:FLP8 FVK8:FVL8 GFG8:GFH8 GPC8:GPD8 GYY8:GYZ8 HIU8:HIV8 HSQ8:HSR8 ICM8:ICN8 IMI8:IMJ8 IWE8:IWF8 JGA8:JGB8 JPW8:JPX8 JZS8:JZT8 KJO8:KJP8 KTK8:KTL8 LDG8:LDH8 LNC8:LND8 LWY8:LWZ8 MGU8:MGV8 MQQ8:MQR8 NAM8:NAN8 NKI8:NKJ8 NUE8:NUF8 OEA8:OEB8 ONW8:ONX8 OXS8:OXT8 PHO8:PHP8 PRK8:PRL8 QBG8:QBH8 QLC8:QLD8 QUY8:QUZ8 REU8:REV8 ROQ8:ROR8 RYM8:RYN8 SII8:SIJ8 SSE8:SSF8 TCA8:TCB8 TLW8:TLX8 TVS8:TVT8 UFO8:UFP8 UPK8:UPL8 UZG8:UZH8 VJC8:VJD8 VSY8:VSZ8 WCU8:WCV8 WMQ8:WMR8 WWM8:WWN8 AE65542:AF65542 KA65544:KB65544 TW65544:TX65544 ADS65544:ADT65544 ANO65544:ANP65544 AXK65544:AXL65544 BHG65544:BHH65544 BRC65544:BRD65544 CAY65544:CAZ65544 CKU65544:CKV65544 CUQ65544:CUR65544 DEM65544:DEN65544 DOI65544:DOJ65544 DYE65544:DYF65544 EIA65544:EIB65544 ERW65544:ERX65544 FBS65544:FBT65544 FLO65544:FLP65544 FVK65544:FVL65544 GFG65544:GFH65544 GPC65544:GPD65544 GYY65544:GYZ65544 HIU65544:HIV65544 HSQ65544:HSR65544 ICM65544:ICN65544 IMI65544:IMJ65544 IWE65544:IWF65544 JGA65544:JGB65544 JPW65544:JPX65544 JZS65544:JZT65544 KJO65544:KJP65544 KTK65544:KTL65544 LDG65544:LDH65544 LNC65544:LND65544 LWY65544:LWZ65544 MGU65544:MGV65544 MQQ65544:MQR65544 NAM65544:NAN65544 NKI65544:NKJ65544 NUE65544:NUF65544 OEA65544:OEB65544 ONW65544:ONX65544 OXS65544:OXT65544 PHO65544:PHP65544 PRK65544:PRL65544 QBG65544:QBH65544 QLC65544:QLD65544 QUY65544:QUZ65544 REU65544:REV65544 ROQ65544:ROR65544 RYM65544:RYN65544 SII65544:SIJ65544 SSE65544:SSF65544 TCA65544:TCB65544 TLW65544:TLX65544 TVS65544:TVT65544 UFO65544:UFP65544 UPK65544:UPL65544 UZG65544:UZH65544 VJC65544:VJD65544 VSY65544:VSZ65544 WCU65544:WCV65544 WMQ65544:WMR65544 WWM65544:WWN65544 AE131078:AF131078 KA131080:KB131080 TW131080:TX131080 ADS131080:ADT131080 ANO131080:ANP131080 AXK131080:AXL131080 BHG131080:BHH131080 BRC131080:BRD131080 CAY131080:CAZ131080 CKU131080:CKV131080 CUQ131080:CUR131080 DEM131080:DEN131080 DOI131080:DOJ131080 DYE131080:DYF131080 EIA131080:EIB131080 ERW131080:ERX131080 FBS131080:FBT131080 FLO131080:FLP131080 FVK131080:FVL131080 GFG131080:GFH131080 GPC131080:GPD131080 GYY131080:GYZ131080 HIU131080:HIV131080 HSQ131080:HSR131080 ICM131080:ICN131080 IMI131080:IMJ131080 IWE131080:IWF131080 JGA131080:JGB131080 JPW131080:JPX131080 JZS131080:JZT131080 KJO131080:KJP131080 KTK131080:KTL131080 LDG131080:LDH131080 LNC131080:LND131080 LWY131080:LWZ131080 MGU131080:MGV131080 MQQ131080:MQR131080 NAM131080:NAN131080 NKI131080:NKJ131080 NUE131080:NUF131080 OEA131080:OEB131080 ONW131080:ONX131080 OXS131080:OXT131080 PHO131080:PHP131080 PRK131080:PRL131080 QBG131080:QBH131080 QLC131080:QLD131080 QUY131080:QUZ131080 REU131080:REV131080 ROQ131080:ROR131080 RYM131080:RYN131080 SII131080:SIJ131080 SSE131080:SSF131080 TCA131080:TCB131080 TLW131080:TLX131080 TVS131080:TVT131080 UFO131080:UFP131080 UPK131080:UPL131080 UZG131080:UZH131080 VJC131080:VJD131080 VSY131080:VSZ131080 WCU131080:WCV131080 WMQ131080:WMR131080 WWM131080:WWN131080 AE196614:AF196614 KA196616:KB196616 TW196616:TX196616 ADS196616:ADT196616 ANO196616:ANP196616 AXK196616:AXL196616 BHG196616:BHH196616 BRC196616:BRD196616 CAY196616:CAZ196616 CKU196616:CKV196616 CUQ196616:CUR196616 DEM196616:DEN196616 DOI196616:DOJ196616 DYE196616:DYF196616 EIA196616:EIB196616 ERW196616:ERX196616 FBS196616:FBT196616 FLO196616:FLP196616 FVK196616:FVL196616 GFG196616:GFH196616 GPC196616:GPD196616 GYY196616:GYZ196616 HIU196616:HIV196616 HSQ196616:HSR196616 ICM196616:ICN196616 IMI196616:IMJ196616 IWE196616:IWF196616 JGA196616:JGB196616 JPW196616:JPX196616 JZS196616:JZT196616 KJO196616:KJP196616 KTK196616:KTL196616 LDG196616:LDH196616 LNC196616:LND196616 LWY196616:LWZ196616 MGU196616:MGV196616 MQQ196616:MQR196616 NAM196616:NAN196616 NKI196616:NKJ196616 NUE196616:NUF196616 OEA196616:OEB196616 ONW196616:ONX196616 OXS196616:OXT196616 PHO196616:PHP196616 PRK196616:PRL196616 QBG196616:QBH196616 QLC196616:QLD196616 QUY196616:QUZ196616 REU196616:REV196616 ROQ196616:ROR196616 RYM196616:RYN196616 SII196616:SIJ196616 SSE196616:SSF196616 TCA196616:TCB196616 TLW196616:TLX196616 TVS196616:TVT196616 UFO196616:UFP196616 UPK196616:UPL196616 UZG196616:UZH196616 VJC196616:VJD196616 VSY196616:VSZ196616 WCU196616:WCV196616 WMQ196616:WMR196616 WWM196616:WWN196616 AE262150:AF262150 KA262152:KB262152 TW262152:TX262152 ADS262152:ADT262152 ANO262152:ANP262152 AXK262152:AXL262152 BHG262152:BHH262152 BRC262152:BRD262152 CAY262152:CAZ262152 CKU262152:CKV262152 CUQ262152:CUR262152 DEM262152:DEN262152 DOI262152:DOJ262152 DYE262152:DYF262152 EIA262152:EIB262152 ERW262152:ERX262152 FBS262152:FBT262152 FLO262152:FLP262152 FVK262152:FVL262152 GFG262152:GFH262152 GPC262152:GPD262152 GYY262152:GYZ262152 HIU262152:HIV262152 HSQ262152:HSR262152 ICM262152:ICN262152 IMI262152:IMJ262152 IWE262152:IWF262152 JGA262152:JGB262152 JPW262152:JPX262152 JZS262152:JZT262152 KJO262152:KJP262152 KTK262152:KTL262152 LDG262152:LDH262152 LNC262152:LND262152 LWY262152:LWZ262152 MGU262152:MGV262152 MQQ262152:MQR262152 NAM262152:NAN262152 NKI262152:NKJ262152 NUE262152:NUF262152 OEA262152:OEB262152 ONW262152:ONX262152 OXS262152:OXT262152 PHO262152:PHP262152 PRK262152:PRL262152 QBG262152:QBH262152 QLC262152:QLD262152 QUY262152:QUZ262152 REU262152:REV262152 ROQ262152:ROR262152 RYM262152:RYN262152 SII262152:SIJ262152 SSE262152:SSF262152 TCA262152:TCB262152 TLW262152:TLX262152 TVS262152:TVT262152 UFO262152:UFP262152 UPK262152:UPL262152 UZG262152:UZH262152 VJC262152:VJD262152 VSY262152:VSZ262152 WCU262152:WCV262152 WMQ262152:WMR262152 WWM262152:WWN262152 AE327686:AF327686 KA327688:KB327688 TW327688:TX327688 ADS327688:ADT327688 ANO327688:ANP327688 AXK327688:AXL327688 BHG327688:BHH327688 BRC327688:BRD327688 CAY327688:CAZ327688 CKU327688:CKV327688 CUQ327688:CUR327688 DEM327688:DEN327688 DOI327688:DOJ327688 DYE327688:DYF327688 EIA327688:EIB327688 ERW327688:ERX327688 FBS327688:FBT327688 FLO327688:FLP327688 FVK327688:FVL327688 GFG327688:GFH327688 GPC327688:GPD327688 GYY327688:GYZ327688 HIU327688:HIV327688 HSQ327688:HSR327688 ICM327688:ICN327688 IMI327688:IMJ327688 IWE327688:IWF327688 JGA327688:JGB327688 JPW327688:JPX327688 JZS327688:JZT327688 KJO327688:KJP327688 KTK327688:KTL327688 LDG327688:LDH327688 LNC327688:LND327688 LWY327688:LWZ327688 MGU327688:MGV327688 MQQ327688:MQR327688 NAM327688:NAN327688 NKI327688:NKJ327688 NUE327688:NUF327688 OEA327688:OEB327688 ONW327688:ONX327688 OXS327688:OXT327688 PHO327688:PHP327688 PRK327688:PRL327688 QBG327688:QBH327688 QLC327688:QLD327688 QUY327688:QUZ327688 REU327688:REV327688 ROQ327688:ROR327688 RYM327688:RYN327688 SII327688:SIJ327688 SSE327688:SSF327688 TCA327688:TCB327688 TLW327688:TLX327688 TVS327688:TVT327688 UFO327688:UFP327688 UPK327688:UPL327688 UZG327688:UZH327688 VJC327688:VJD327688 VSY327688:VSZ327688 WCU327688:WCV327688 WMQ327688:WMR327688 WWM327688:WWN327688 AE393222:AF393222 KA393224:KB393224 TW393224:TX393224 ADS393224:ADT393224 ANO393224:ANP393224 AXK393224:AXL393224 BHG393224:BHH393224 BRC393224:BRD393224 CAY393224:CAZ393224 CKU393224:CKV393224 CUQ393224:CUR393224 DEM393224:DEN393224 DOI393224:DOJ393224 DYE393224:DYF393224 EIA393224:EIB393224 ERW393224:ERX393224 FBS393224:FBT393224 FLO393224:FLP393224 FVK393224:FVL393224 GFG393224:GFH393224 GPC393224:GPD393224 GYY393224:GYZ393224 HIU393224:HIV393224 HSQ393224:HSR393224 ICM393224:ICN393224 IMI393224:IMJ393224 IWE393224:IWF393224 JGA393224:JGB393224 JPW393224:JPX393224 JZS393224:JZT393224 KJO393224:KJP393224 KTK393224:KTL393224 LDG393224:LDH393224 LNC393224:LND393224 LWY393224:LWZ393224 MGU393224:MGV393224 MQQ393224:MQR393224 NAM393224:NAN393224 NKI393224:NKJ393224 NUE393224:NUF393224 OEA393224:OEB393224 ONW393224:ONX393224 OXS393224:OXT393224 PHO393224:PHP393224 PRK393224:PRL393224 QBG393224:QBH393224 QLC393224:QLD393224 QUY393224:QUZ393224 REU393224:REV393224 ROQ393224:ROR393224 RYM393224:RYN393224 SII393224:SIJ393224 SSE393224:SSF393224 TCA393224:TCB393224 TLW393224:TLX393224 TVS393224:TVT393224 UFO393224:UFP393224 UPK393224:UPL393224 UZG393224:UZH393224 VJC393224:VJD393224 VSY393224:VSZ393224 WCU393224:WCV393224 WMQ393224:WMR393224 WWM393224:WWN393224 AE458758:AF458758 KA458760:KB458760 TW458760:TX458760 ADS458760:ADT458760 ANO458760:ANP458760 AXK458760:AXL458760 BHG458760:BHH458760 BRC458760:BRD458760 CAY458760:CAZ458760 CKU458760:CKV458760 CUQ458760:CUR458760 DEM458760:DEN458760 DOI458760:DOJ458760 DYE458760:DYF458760 EIA458760:EIB458760 ERW458760:ERX458760 FBS458760:FBT458760 FLO458760:FLP458760 FVK458760:FVL458760 GFG458760:GFH458760 GPC458760:GPD458760 GYY458760:GYZ458760 HIU458760:HIV458760 HSQ458760:HSR458760 ICM458760:ICN458760 IMI458760:IMJ458760 IWE458760:IWF458760 JGA458760:JGB458760 JPW458760:JPX458760 JZS458760:JZT458760 KJO458760:KJP458760 KTK458760:KTL458760 LDG458760:LDH458760 LNC458760:LND458760 LWY458760:LWZ458760 MGU458760:MGV458760 MQQ458760:MQR458760 NAM458760:NAN458760 NKI458760:NKJ458760 NUE458760:NUF458760 OEA458760:OEB458760 ONW458760:ONX458760 OXS458760:OXT458760 PHO458760:PHP458760 PRK458760:PRL458760 QBG458760:QBH458760 QLC458760:QLD458760 QUY458760:QUZ458760 REU458760:REV458760 ROQ458760:ROR458760 RYM458760:RYN458760 SII458760:SIJ458760 SSE458760:SSF458760 TCA458760:TCB458760 TLW458760:TLX458760 TVS458760:TVT458760 UFO458760:UFP458760 UPK458760:UPL458760 UZG458760:UZH458760 VJC458760:VJD458760 VSY458760:VSZ458760 WCU458760:WCV458760 WMQ458760:WMR458760 WWM458760:WWN458760 AE524294:AF524294 KA524296:KB524296 TW524296:TX524296 ADS524296:ADT524296 ANO524296:ANP524296 AXK524296:AXL524296 BHG524296:BHH524296 BRC524296:BRD524296 CAY524296:CAZ524296 CKU524296:CKV524296 CUQ524296:CUR524296 DEM524296:DEN524296 DOI524296:DOJ524296 DYE524296:DYF524296 EIA524296:EIB524296 ERW524296:ERX524296 FBS524296:FBT524296 FLO524296:FLP524296 FVK524296:FVL524296 GFG524296:GFH524296 GPC524296:GPD524296 GYY524296:GYZ524296 HIU524296:HIV524296 HSQ524296:HSR524296 ICM524296:ICN524296 IMI524296:IMJ524296 IWE524296:IWF524296 JGA524296:JGB524296 JPW524296:JPX524296 JZS524296:JZT524296 KJO524296:KJP524296 KTK524296:KTL524296 LDG524296:LDH524296 LNC524296:LND524296 LWY524296:LWZ524296 MGU524296:MGV524296 MQQ524296:MQR524296 NAM524296:NAN524296 NKI524296:NKJ524296 NUE524296:NUF524296 OEA524296:OEB524296 ONW524296:ONX524296 OXS524296:OXT524296 PHO524296:PHP524296 PRK524296:PRL524296 QBG524296:QBH524296 QLC524296:QLD524296 QUY524296:QUZ524296 REU524296:REV524296 ROQ524296:ROR524296 RYM524296:RYN524296 SII524296:SIJ524296 SSE524296:SSF524296 TCA524296:TCB524296 TLW524296:TLX524296 TVS524296:TVT524296 UFO524296:UFP524296 UPK524296:UPL524296 UZG524296:UZH524296 VJC524296:VJD524296 VSY524296:VSZ524296 WCU524296:WCV524296 WMQ524296:WMR524296 WWM524296:WWN524296 AE589830:AF589830 KA589832:KB589832 TW589832:TX589832 ADS589832:ADT589832 ANO589832:ANP589832 AXK589832:AXL589832 BHG589832:BHH589832 BRC589832:BRD589832 CAY589832:CAZ589832 CKU589832:CKV589832 CUQ589832:CUR589832 DEM589832:DEN589832 DOI589832:DOJ589832 DYE589832:DYF589832 EIA589832:EIB589832 ERW589832:ERX589832 FBS589832:FBT589832 FLO589832:FLP589832 FVK589832:FVL589832 GFG589832:GFH589832 GPC589832:GPD589832 GYY589832:GYZ589832 HIU589832:HIV589832 HSQ589832:HSR589832 ICM589832:ICN589832 IMI589832:IMJ589832 IWE589832:IWF589832 JGA589832:JGB589832 JPW589832:JPX589832 JZS589832:JZT589832 KJO589832:KJP589832 KTK589832:KTL589832 LDG589832:LDH589832 LNC589832:LND589832 LWY589832:LWZ589832 MGU589832:MGV589832 MQQ589832:MQR589832 NAM589832:NAN589832 NKI589832:NKJ589832 NUE589832:NUF589832 OEA589832:OEB589832 ONW589832:ONX589832 OXS589832:OXT589832 PHO589832:PHP589832 PRK589832:PRL589832 QBG589832:QBH589832 QLC589832:QLD589832 QUY589832:QUZ589832 REU589832:REV589832 ROQ589832:ROR589832 RYM589832:RYN589832 SII589832:SIJ589832 SSE589832:SSF589832 TCA589832:TCB589832 TLW589832:TLX589832 TVS589832:TVT589832 UFO589832:UFP589832 UPK589832:UPL589832 UZG589832:UZH589832 VJC589832:VJD589832 VSY589832:VSZ589832 WCU589832:WCV589832 WMQ589832:WMR589832 WWM589832:WWN589832 AE655366:AF655366 KA655368:KB655368 TW655368:TX655368 ADS655368:ADT655368 ANO655368:ANP655368 AXK655368:AXL655368 BHG655368:BHH655368 BRC655368:BRD655368 CAY655368:CAZ655368 CKU655368:CKV655368 CUQ655368:CUR655368 DEM655368:DEN655368 DOI655368:DOJ655368 DYE655368:DYF655368 EIA655368:EIB655368 ERW655368:ERX655368 FBS655368:FBT655368 FLO655368:FLP655368 FVK655368:FVL655368 GFG655368:GFH655368 GPC655368:GPD655368 GYY655368:GYZ655368 HIU655368:HIV655368 HSQ655368:HSR655368 ICM655368:ICN655368 IMI655368:IMJ655368 IWE655368:IWF655368 JGA655368:JGB655368 JPW655368:JPX655368 JZS655368:JZT655368 KJO655368:KJP655368 KTK655368:KTL655368 LDG655368:LDH655368 LNC655368:LND655368 LWY655368:LWZ655368 MGU655368:MGV655368 MQQ655368:MQR655368 NAM655368:NAN655368 NKI655368:NKJ655368 NUE655368:NUF655368 OEA655368:OEB655368 ONW655368:ONX655368 OXS655368:OXT655368 PHO655368:PHP655368 PRK655368:PRL655368 QBG655368:QBH655368 QLC655368:QLD655368 QUY655368:QUZ655368 REU655368:REV655368 ROQ655368:ROR655368 RYM655368:RYN655368 SII655368:SIJ655368 SSE655368:SSF655368 TCA655368:TCB655368 TLW655368:TLX655368 TVS655368:TVT655368 UFO655368:UFP655368 UPK655368:UPL655368 UZG655368:UZH655368 VJC655368:VJD655368 VSY655368:VSZ655368 WCU655368:WCV655368 WMQ655368:WMR655368 WWM655368:WWN655368 AE720902:AF720902 KA720904:KB720904 TW720904:TX720904 ADS720904:ADT720904 ANO720904:ANP720904 AXK720904:AXL720904 BHG720904:BHH720904 BRC720904:BRD720904 CAY720904:CAZ720904 CKU720904:CKV720904 CUQ720904:CUR720904 DEM720904:DEN720904 DOI720904:DOJ720904 DYE720904:DYF720904 EIA720904:EIB720904 ERW720904:ERX720904 FBS720904:FBT720904 FLO720904:FLP720904 FVK720904:FVL720904 GFG720904:GFH720904 GPC720904:GPD720904 GYY720904:GYZ720904 HIU720904:HIV720904 HSQ720904:HSR720904 ICM720904:ICN720904 IMI720904:IMJ720904 IWE720904:IWF720904 JGA720904:JGB720904 JPW720904:JPX720904 JZS720904:JZT720904 KJO720904:KJP720904 KTK720904:KTL720904 LDG720904:LDH720904 LNC720904:LND720904 LWY720904:LWZ720904 MGU720904:MGV720904 MQQ720904:MQR720904 NAM720904:NAN720904 NKI720904:NKJ720904 NUE720904:NUF720904 OEA720904:OEB720904 ONW720904:ONX720904 OXS720904:OXT720904 PHO720904:PHP720904 PRK720904:PRL720904 QBG720904:QBH720904 QLC720904:QLD720904 QUY720904:QUZ720904 REU720904:REV720904 ROQ720904:ROR720904 RYM720904:RYN720904 SII720904:SIJ720904 SSE720904:SSF720904 TCA720904:TCB720904 TLW720904:TLX720904 TVS720904:TVT720904 UFO720904:UFP720904 UPK720904:UPL720904 UZG720904:UZH720904 VJC720904:VJD720904 VSY720904:VSZ720904 WCU720904:WCV720904 WMQ720904:WMR720904 WWM720904:WWN720904 AE786438:AF786438 KA786440:KB786440 TW786440:TX786440 ADS786440:ADT786440 ANO786440:ANP786440 AXK786440:AXL786440 BHG786440:BHH786440 BRC786440:BRD786440 CAY786440:CAZ786440 CKU786440:CKV786440 CUQ786440:CUR786440 DEM786440:DEN786440 DOI786440:DOJ786440 DYE786440:DYF786440 EIA786440:EIB786440 ERW786440:ERX786440 FBS786440:FBT786440 FLO786440:FLP786440 FVK786440:FVL786440 GFG786440:GFH786440 GPC786440:GPD786440 GYY786440:GYZ786440 HIU786440:HIV786440 HSQ786440:HSR786440 ICM786440:ICN786440 IMI786440:IMJ786440 IWE786440:IWF786440 JGA786440:JGB786440 JPW786440:JPX786440 JZS786440:JZT786440 KJO786440:KJP786440 KTK786440:KTL786440 LDG786440:LDH786440 LNC786440:LND786440 LWY786440:LWZ786440 MGU786440:MGV786440 MQQ786440:MQR786440 NAM786440:NAN786440 NKI786440:NKJ786440 NUE786440:NUF786440 OEA786440:OEB786440 ONW786440:ONX786440 OXS786440:OXT786440 PHO786440:PHP786440 PRK786440:PRL786440 QBG786440:QBH786440 QLC786440:QLD786440 QUY786440:QUZ786440 REU786440:REV786440 ROQ786440:ROR786440 RYM786440:RYN786440 SII786440:SIJ786440 SSE786440:SSF786440 TCA786440:TCB786440 TLW786440:TLX786440 TVS786440:TVT786440 UFO786440:UFP786440 UPK786440:UPL786440 UZG786440:UZH786440 VJC786440:VJD786440 VSY786440:VSZ786440 WCU786440:WCV786440 WMQ786440:WMR786440 WWM786440:WWN786440 AE851974:AF851974 KA851976:KB851976 TW851976:TX851976 ADS851976:ADT851976 ANO851976:ANP851976 AXK851976:AXL851976 BHG851976:BHH851976 BRC851976:BRD851976 CAY851976:CAZ851976 CKU851976:CKV851976 CUQ851976:CUR851976 DEM851976:DEN851976 DOI851976:DOJ851976 DYE851976:DYF851976 EIA851976:EIB851976 ERW851976:ERX851976 FBS851976:FBT851976 FLO851976:FLP851976 FVK851976:FVL851976 GFG851976:GFH851976 GPC851976:GPD851976 GYY851976:GYZ851976 HIU851976:HIV851976 HSQ851976:HSR851976 ICM851976:ICN851976 IMI851976:IMJ851976 IWE851976:IWF851976 JGA851976:JGB851976 JPW851976:JPX851976 JZS851976:JZT851976 KJO851976:KJP851976 KTK851976:KTL851976 LDG851976:LDH851976 LNC851976:LND851976 LWY851976:LWZ851976 MGU851976:MGV851976 MQQ851976:MQR851976 NAM851976:NAN851976 NKI851976:NKJ851976 NUE851976:NUF851976 OEA851976:OEB851976 ONW851976:ONX851976 OXS851976:OXT851976 PHO851976:PHP851976 PRK851976:PRL851976 QBG851976:QBH851976 QLC851976:QLD851976 QUY851976:QUZ851976 REU851976:REV851976 ROQ851976:ROR851976 RYM851976:RYN851976 SII851976:SIJ851976 SSE851976:SSF851976 TCA851976:TCB851976 TLW851976:TLX851976 TVS851976:TVT851976 UFO851976:UFP851976 UPK851976:UPL851976 UZG851976:UZH851976 VJC851976:VJD851976 VSY851976:VSZ851976 WCU851976:WCV851976 WMQ851976:WMR851976 WWM851976:WWN851976 AE917510:AF917510 KA917512:KB917512 TW917512:TX917512 ADS917512:ADT917512 ANO917512:ANP917512 AXK917512:AXL917512 BHG917512:BHH917512 BRC917512:BRD917512 CAY917512:CAZ917512 CKU917512:CKV917512 CUQ917512:CUR917512 DEM917512:DEN917512 DOI917512:DOJ917512 DYE917512:DYF917512 EIA917512:EIB917512 ERW917512:ERX917512 FBS917512:FBT917512 FLO917512:FLP917512 FVK917512:FVL917512 GFG917512:GFH917512 GPC917512:GPD917512 GYY917512:GYZ917512 HIU917512:HIV917512 HSQ917512:HSR917512 ICM917512:ICN917512 IMI917512:IMJ917512 IWE917512:IWF917512 JGA917512:JGB917512 JPW917512:JPX917512 JZS917512:JZT917512 KJO917512:KJP917512 KTK917512:KTL917512 LDG917512:LDH917512 LNC917512:LND917512 LWY917512:LWZ917512 MGU917512:MGV917512 MQQ917512:MQR917512 NAM917512:NAN917512 NKI917512:NKJ917512 NUE917512:NUF917512 OEA917512:OEB917512 ONW917512:ONX917512 OXS917512:OXT917512 PHO917512:PHP917512 PRK917512:PRL917512 QBG917512:QBH917512 QLC917512:QLD917512 QUY917512:QUZ917512 REU917512:REV917512 ROQ917512:ROR917512 RYM917512:RYN917512 SII917512:SIJ917512 SSE917512:SSF917512 TCA917512:TCB917512 TLW917512:TLX917512 TVS917512:TVT917512 UFO917512:UFP917512 UPK917512:UPL917512 UZG917512:UZH917512 VJC917512:VJD917512 VSY917512:VSZ917512 WCU917512:WCV917512 WMQ917512:WMR917512 WWM917512:WWN917512 AE983046:AF983046 KA983048:KB983048 TW983048:TX983048 ADS983048:ADT983048 ANO983048:ANP983048 AXK983048:AXL983048 BHG983048:BHH983048 BRC983048:BRD983048 CAY983048:CAZ983048 CKU983048:CKV983048 CUQ983048:CUR983048 DEM983048:DEN983048 DOI983048:DOJ983048 DYE983048:DYF983048 EIA983048:EIB983048 ERW983048:ERX983048 FBS983048:FBT983048 FLO983048:FLP983048 FVK983048:FVL983048 GFG983048:GFH983048 GPC983048:GPD983048 GYY983048:GYZ983048 HIU983048:HIV983048 HSQ983048:HSR983048 ICM983048:ICN983048 IMI983048:IMJ983048 IWE983048:IWF983048 JGA983048:JGB983048 JPW983048:JPX983048 JZS983048:JZT983048 KJO983048:KJP983048 KTK983048:KTL983048 LDG983048:LDH983048 LNC983048:LND983048 LWY983048:LWZ983048 MGU983048:MGV983048 MQQ983048:MQR983048 NAM983048:NAN983048 NKI983048:NKJ983048 NUE983048:NUF983048 OEA983048:OEB983048 ONW983048:ONX983048 OXS983048:OXT983048 PHO983048:PHP983048 PRK983048:PRL983048 QBG983048:QBH983048 QLC983048:QLD983048 QUY983048:QUZ983048 REU983048:REV983048 ROQ983048:ROR983048 RYM983048:RYN983048 SII983048:SIJ983048 SSE983048:SSF983048 TCA983048:TCB983048 TLW983048:TLX983048 TVS983048:TVT983048 UFO983048:UFP983048 UPK983048:UPL983048 UZG983048:UZH983048 VJC983048:VJD983048 VSY983048:VSZ983048 WCU983048:WCV983048 WMQ983048:WMR983048 WWM983048:WWN983048 Y62:AA62 JU62:JW62 TQ62:TS62 ADM62:ADO62 ANI62:ANK62 AXE62:AXG62 BHA62:BHC62 BQW62:BQY62 CAS62:CAU62 CKO62:CKQ62 CUK62:CUM62 DEG62:DEI62 DOC62:DOE62 DXY62:DYA62 EHU62:EHW62 ERQ62:ERS62 FBM62:FBO62 FLI62:FLK62 FVE62:FVG62 GFA62:GFC62 GOW62:GOY62 GYS62:GYU62 HIO62:HIQ62 HSK62:HSM62 ICG62:ICI62 IMC62:IME62 IVY62:IWA62 JFU62:JFW62 JPQ62:JPS62 JZM62:JZO62 KJI62:KJK62 KTE62:KTG62 LDA62:LDC62 LMW62:LMY62 LWS62:LWU62 MGO62:MGQ62 MQK62:MQM62 NAG62:NAI62 NKC62:NKE62 NTY62:NUA62 ODU62:ODW62 ONQ62:ONS62 OXM62:OXO62 PHI62:PHK62 PRE62:PRG62 QBA62:QBC62 QKW62:QKY62 QUS62:QUU62 REO62:REQ62 ROK62:ROM62 RYG62:RYI62 SIC62:SIE62 SRY62:SSA62 TBU62:TBW62 TLQ62:TLS62 TVM62:TVO62 UFI62:UFK62 UPE62:UPG62 UZA62:UZC62 VIW62:VIY62 VSS62:VSU62 WCO62:WCQ62 WMK62:WMM62 WWG62:WWI62 Y65598:AA65598 JU65598:JW65598 TQ65598:TS65598 ADM65598:ADO65598 ANI65598:ANK65598 AXE65598:AXG65598 BHA65598:BHC65598 BQW65598:BQY65598 CAS65598:CAU65598 CKO65598:CKQ65598 CUK65598:CUM65598 DEG65598:DEI65598 DOC65598:DOE65598 DXY65598:DYA65598 EHU65598:EHW65598 ERQ65598:ERS65598 FBM65598:FBO65598 FLI65598:FLK65598 FVE65598:FVG65598 GFA65598:GFC65598 GOW65598:GOY65598 GYS65598:GYU65598 HIO65598:HIQ65598 HSK65598:HSM65598 ICG65598:ICI65598 IMC65598:IME65598 IVY65598:IWA65598 JFU65598:JFW65598 JPQ65598:JPS65598 JZM65598:JZO65598 KJI65598:KJK65598 KTE65598:KTG65598 LDA65598:LDC65598 LMW65598:LMY65598 LWS65598:LWU65598 MGO65598:MGQ65598 MQK65598:MQM65598 NAG65598:NAI65598 NKC65598:NKE65598 NTY65598:NUA65598 ODU65598:ODW65598 ONQ65598:ONS65598 OXM65598:OXO65598 PHI65598:PHK65598 PRE65598:PRG65598 QBA65598:QBC65598 QKW65598:QKY65598 QUS65598:QUU65598 REO65598:REQ65598 ROK65598:ROM65598 RYG65598:RYI65598 SIC65598:SIE65598 SRY65598:SSA65598 TBU65598:TBW65598 TLQ65598:TLS65598 TVM65598:TVO65598 UFI65598:UFK65598 UPE65598:UPG65598 UZA65598:UZC65598 VIW65598:VIY65598 VSS65598:VSU65598 WCO65598:WCQ65598 WMK65598:WMM65598 WWG65598:WWI65598 Y131134:AA131134 JU131134:JW131134 TQ131134:TS131134 ADM131134:ADO131134 ANI131134:ANK131134 AXE131134:AXG131134 BHA131134:BHC131134 BQW131134:BQY131134 CAS131134:CAU131134 CKO131134:CKQ131134 CUK131134:CUM131134 DEG131134:DEI131134 DOC131134:DOE131134 DXY131134:DYA131134 EHU131134:EHW131134 ERQ131134:ERS131134 FBM131134:FBO131134 FLI131134:FLK131134 FVE131134:FVG131134 GFA131134:GFC131134 GOW131134:GOY131134 GYS131134:GYU131134 HIO131134:HIQ131134 HSK131134:HSM131134 ICG131134:ICI131134 IMC131134:IME131134 IVY131134:IWA131134 JFU131134:JFW131134 JPQ131134:JPS131134 JZM131134:JZO131134 KJI131134:KJK131134 KTE131134:KTG131134 LDA131134:LDC131134 LMW131134:LMY131134 LWS131134:LWU131134 MGO131134:MGQ131134 MQK131134:MQM131134 NAG131134:NAI131134 NKC131134:NKE131134 NTY131134:NUA131134 ODU131134:ODW131134 ONQ131134:ONS131134 OXM131134:OXO131134 PHI131134:PHK131134 PRE131134:PRG131134 QBA131134:QBC131134 QKW131134:QKY131134 QUS131134:QUU131134 REO131134:REQ131134 ROK131134:ROM131134 RYG131134:RYI131134 SIC131134:SIE131134 SRY131134:SSA131134 TBU131134:TBW131134 TLQ131134:TLS131134 TVM131134:TVO131134 UFI131134:UFK131134 UPE131134:UPG131134 UZA131134:UZC131134 VIW131134:VIY131134 VSS131134:VSU131134 WCO131134:WCQ131134 WMK131134:WMM131134 WWG131134:WWI131134 Y196670:AA196670 JU196670:JW196670 TQ196670:TS196670 ADM196670:ADO196670 ANI196670:ANK196670 AXE196670:AXG196670 BHA196670:BHC196670 BQW196670:BQY196670 CAS196670:CAU196670 CKO196670:CKQ196670 CUK196670:CUM196670 DEG196670:DEI196670 DOC196670:DOE196670 DXY196670:DYA196670 EHU196670:EHW196670 ERQ196670:ERS196670 FBM196670:FBO196670 FLI196670:FLK196670 FVE196670:FVG196670 GFA196670:GFC196670 GOW196670:GOY196670 GYS196670:GYU196670 HIO196670:HIQ196670 HSK196670:HSM196670 ICG196670:ICI196670 IMC196670:IME196670 IVY196670:IWA196670 JFU196670:JFW196670 JPQ196670:JPS196670 JZM196670:JZO196670 KJI196670:KJK196670 KTE196670:KTG196670 LDA196670:LDC196670 LMW196670:LMY196670 LWS196670:LWU196670 MGO196670:MGQ196670 MQK196670:MQM196670 NAG196670:NAI196670 NKC196670:NKE196670 NTY196670:NUA196670 ODU196670:ODW196670 ONQ196670:ONS196670 OXM196670:OXO196670 PHI196670:PHK196670 PRE196670:PRG196670 QBA196670:QBC196670 QKW196670:QKY196670 QUS196670:QUU196670 REO196670:REQ196670 ROK196670:ROM196670 RYG196670:RYI196670 SIC196670:SIE196670 SRY196670:SSA196670 TBU196670:TBW196670 TLQ196670:TLS196670 TVM196670:TVO196670 UFI196670:UFK196670 UPE196670:UPG196670 UZA196670:UZC196670 VIW196670:VIY196670 VSS196670:VSU196670 WCO196670:WCQ196670 WMK196670:WMM196670 WWG196670:WWI196670 Y262206:AA262206 JU262206:JW262206 TQ262206:TS262206 ADM262206:ADO262206 ANI262206:ANK262206 AXE262206:AXG262206 BHA262206:BHC262206 BQW262206:BQY262206 CAS262206:CAU262206 CKO262206:CKQ262206 CUK262206:CUM262206 DEG262206:DEI262206 DOC262206:DOE262206 DXY262206:DYA262206 EHU262206:EHW262206 ERQ262206:ERS262206 FBM262206:FBO262206 FLI262206:FLK262206 FVE262206:FVG262206 GFA262206:GFC262206 GOW262206:GOY262206 GYS262206:GYU262206 HIO262206:HIQ262206 HSK262206:HSM262206 ICG262206:ICI262206 IMC262206:IME262206 IVY262206:IWA262206 JFU262206:JFW262206 JPQ262206:JPS262206 JZM262206:JZO262206 KJI262206:KJK262206 KTE262206:KTG262206 LDA262206:LDC262206 LMW262206:LMY262206 LWS262206:LWU262206 MGO262206:MGQ262206 MQK262206:MQM262206 NAG262206:NAI262206 NKC262206:NKE262206 NTY262206:NUA262206 ODU262206:ODW262206 ONQ262206:ONS262206 OXM262206:OXO262206 PHI262206:PHK262206 PRE262206:PRG262206 QBA262206:QBC262206 QKW262206:QKY262206 QUS262206:QUU262206 REO262206:REQ262206 ROK262206:ROM262206 RYG262206:RYI262206 SIC262206:SIE262206 SRY262206:SSA262206 TBU262206:TBW262206 TLQ262206:TLS262206 TVM262206:TVO262206 UFI262206:UFK262206 UPE262206:UPG262206 UZA262206:UZC262206 VIW262206:VIY262206 VSS262206:VSU262206 WCO262206:WCQ262206 WMK262206:WMM262206 WWG262206:WWI262206 Y327742:AA327742 JU327742:JW327742 TQ327742:TS327742 ADM327742:ADO327742 ANI327742:ANK327742 AXE327742:AXG327742 BHA327742:BHC327742 BQW327742:BQY327742 CAS327742:CAU327742 CKO327742:CKQ327742 CUK327742:CUM327742 DEG327742:DEI327742 DOC327742:DOE327742 DXY327742:DYA327742 EHU327742:EHW327742 ERQ327742:ERS327742 FBM327742:FBO327742 FLI327742:FLK327742 FVE327742:FVG327742 GFA327742:GFC327742 GOW327742:GOY327742 GYS327742:GYU327742 HIO327742:HIQ327742 HSK327742:HSM327742 ICG327742:ICI327742 IMC327742:IME327742 IVY327742:IWA327742 JFU327742:JFW327742 JPQ327742:JPS327742 JZM327742:JZO327742 KJI327742:KJK327742 KTE327742:KTG327742 LDA327742:LDC327742 LMW327742:LMY327742 LWS327742:LWU327742 MGO327742:MGQ327742 MQK327742:MQM327742 NAG327742:NAI327742 NKC327742:NKE327742 NTY327742:NUA327742 ODU327742:ODW327742 ONQ327742:ONS327742 OXM327742:OXO327742 PHI327742:PHK327742 PRE327742:PRG327742 QBA327742:QBC327742 QKW327742:QKY327742 QUS327742:QUU327742 REO327742:REQ327742 ROK327742:ROM327742 RYG327742:RYI327742 SIC327742:SIE327742 SRY327742:SSA327742 TBU327742:TBW327742 TLQ327742:TLS327742 TVM327742:TVO327742 UFI327742:UFK327742 UPE327742:UPG327742 UZA327742:UZC327742 VIW327742:VIY327742 VSS327742:VSU327742 WCO327742:WCQ327742 WMK327742:WMM327742 WWG327742:WWI327742 Y393278:AA393278 JU393278:JW393278 TQ393278:TS393278 ADM393278:ADO393278 ANI393278:ANK393278 AXE393278:AXG393278 BHA393278:BHC393278 BQW393278:BQY393278 CAS393278:CAU393278 CKO393278:CKQ393278 CUK393278:CUM393278 DEG393278:DEI393278 DOC393278:DOE393278 DXY393278:DYA393278 EHU393278:EHW393278 ERQ393278:ERS393278 FBM393278:FBO393278 FLI393278:FLK393278 FVE393278:FVG393278 GFA393278:GFC393278 GOW393278:GOY393278 GYS393278:GYU393278 HIO393278:HIQ393278 HSK393278:HSM393278 ICG393278:ICI393278 IMC393278:IME393278 IVY393278:IWA393278 JFU393278:JFW393278 JPQ393278:JPS393278 JZM393278:JZO393278 KJI393278:KJK393278 KTE393278:KTG393278 LDA393278:LDC393278 LMW393278:LMY393278 LWS393278:LWU393278 MGO393278:MGQ393278 MQK393278:MQM393278 NAG393278:NAI393278 NKC393278:NKE393278 NTY393278:NUA393278 ODU393278:ODW393278 ONQ393278:ONS393278 OXM393278:OXO393278 PHI393278:PHK393278 PRE393278:PRG393278 QBA393278:QBC393278 QKW393278:QKY393278 QUS393278:QUU393278 REO393278:REQ393278 ROK393278:ROM393278 RYG393278:RYI393278 SIC393278:SIE393278 SRY393278:SSA393278 TBU393278:TBW393278 TLQ393278:TLS393278 TVM393278:TVO393278 UFI393278:UFK393278 UPE393278:UPG393278 UZA393278:UZC393278 VIW393278:VIY393278 VSS393278:VSU393278 WCO393278:WCQ393278 WMK393278:WMM393278 WWG393278:WWI393278 Y458814:AA458814 JU458814:JW458814 TQ458814:TS458814 ADM458814:ADO458814 ANI458814:ANK458814 AXE458814:AXG458814 BHA458814:BHC458814 BQW458814:BQY458814 CAS458814:CAU458814 CKO458814:CKQ458814 CUK458814:CUM458814 DEG458814:DEI458814 DOC458814:DOE458814 DXY458814:DYA458814 EHU458814:EHW458814 ERQ458814:ERS458814 FBM458814:FBO458814 FLI458814:FLK458814 FVE458814:FVG458814 GFA458814:GFC458814 GOW458814:GOY458814 GYS458814:GYU458814 HIO458814:HIQ458814 HSK458814:HSM458814 ICG458814:ICI458814 IMC458814:IME458814 IVY458814:IWA458814 JFU458814:JFW458814 JPQ458814:JPS458814 JZM458814:JZO458814 KJI458814:KJK458814 KTE458814:KTG458814 LDA458814:LDC458814 LMW458814:LMY458814 LWS458814:LWU458814 MGO458814:MGQ458814 MQK458814:MQM458814 NAG458814:NAI458814 NKC458814:NKE458814 NTY458814:NUA458814 ODU458814:ODW458814 ONQ458814:ONS458814 OXM458814:OXO458814 PHI458814:PHK458814 PRE458814:PRG458814 QBA458814:QBC458814 QKW458814:QKY458814 QUS458814:QUU458814 REO458814:REQ458814 ROK458814:ROM458814 RYG458814:RYI458814 SIC458814:SIE458814 SRY458814:SSA458814 TBU458814:TBW458814 TLQ458814:TLS458814 TVM458814:TVO458814 UFI458814:UFK458814 UPE458814:UPG458814 UZA458814:UZC458814 VIW458814:VIY458814 VSS458814:VSU458814 WCO458814:WCQ458814 WMK458814:WMM458814 WWG458814:WWI458814 Y524350:AA524350 JU524350:JW524350 TQ524350:TS524350 ADM524350:ADO524350 ANI524350:ANK524350 AXE524350:AXG524350 BHA524350:BHC524350 BQW524350:BQY524350 CAS524350:CAU524350 CKO524350:CKQ524350 CUK524350:CUM524350 DEG524350:DEI524350 DOC524350:DOE524350 DXY524350:DYA524350 EHU524350:EHW524350 ERQ524350:ERS524350 FBM524350:FBO524350 FLI524350:FLK524350 FVE524350:FVG524350 GFA524350:GFC524350 GOW524350:GOY524350 GYS524350:GYU524350 HIO524350:HIQ524350 HSK524350:HSM524350 ICG524350:ICI524350 IMC524350:IME524350 IVY524350:IWA524350 JFU524350:JFW524350 JPQ524350:JPS524350 JZM524350:JZO524350 KJI524350:KJK524350 KTE524350:KTG524350 LDA524350:LDC524350 LMW524350:LMY524350 LWS524350:LWU524350 MGO524350:MGQ524350 MQK524350:MQM524350 NAG524350:NAI524350 NKC524350:NKE524350 NTY524350:NUA524350 ODU524350:ODW524350 ONQ524350:ONS524350 OXM524350:OXO524350 PHI524350:PHK524350 PRE524350:PRG524350 QBA524350:QBC524350 QKW524350:QKY524350 QUS524350:QUU524350 REO524350:REQ524350 ROK524350:ROM524350 RYG524350:RYI524350 SIC524350:SIE524350 SRY524350:SSA524350 TBU524350:TBW524350 TLQ524350:TLS524350 TVM524350:TVO524350 UFI524350:UFK524350 UPE524350:UPG524350 UZA524350:UZC524350 VIW524350:VIY524350 VSS524350:VSU524350 WCO524350:WCQ524350 WMK524350:WMM524350 WWG524350:WWI524350 Y589886:AA589886 JU589886:JW589886 TQ589886:TS589886 ADM589886:ADO589886 ANI589886:ANK589886 AXE589886:AXG589886 BHA589886:BHC589886 BQW589886:BQY589886 CAS589886:CAU589886 CKO589886:CKQ589886 CUK589886:CUM589886 DEG589886:DEI589886 DOC589886:DOE589886 DXY589886:DYA589886 EHU589886:EHW589886 ERQ589886:ERS589886 FBM589886:FBO589886 FLI589886:FLK589886 FVE589886:FVG589886 GFA589886:GFC589886 GOW589886:GOY589886 GYS589886:GYU589886 HIO589886:HIQ589886 HSK589886:HSM589886 ICG589886:ICI589886 IMC589886:IME589886 IVY589886:IWA589886 JFU589886:JFW589886 JPQ589886:JPS589886 JZM589886:JZO589886 KJI589886:KJK589886 KTE589886:KTG589886 LDA589886:LDC589886 LMW589886:LMY589886 LWS589886:LWU589886 MGO589886:MGQ589886 MQK589886:MQM589886 NAG589886:NAI589886 NKC589886:NKE589886 NTY589886:NUA589886 ODU589886:ODW589886 ONQ589886:ONS589886 OXM589886:OXO589886 PHI589886:PHK589886 PRE589886:PRG589886 QBA589886:QBC589886 QKW589886:QKY589886 QUS589886:QUU589886 REO589886:REQ589886 ROK589886:ROM589886 RYG589886:RYI589886 SIC589886:SIE589886 SRY589886:SSA589886 TBU589886:TBW589886 TLQ589886:TLS589886 TVM589886:TVO589886 UFI589886:UFK589886 UPE589886:UPG589886 UZA589886:UZC589886 VIW589886:VIY589886 VSS589886:VSU589886 WCO589886:WCQ589886 WMK589886:WMM589886 WWG589886:WWI589886 Y655422:AA655422 JU655422:JW655422 TQ655422:TS655422 ADM655422:ADO655422 ANI655422:ANK655422 AXE655422:AXG655422 BHA655422:BHC655422 BQW655422:BQY655422 CAS655422:CAU655422 CKO655422:CKQ655422 CUK655422:CUM655422 DEG655422:DEI655422 DOC655422:DOE655422 DXY655422:DYA655422 EHU655422:EHW655422 ERQ655422:ERS655422 FBM655422:FBO655422 FLI655422:FLK655422 FVE655422:FVG655422 GFA655422:GFC655422 GOW655422:GOY655422 GYS655422:GYU655422 HIO655422:HIQ655422 HSK655422:HSM655422 ICG655422:ICI655422 IMC655422:IME655422 IVY655422:IWA655422 JFU655422:JFW655422 JPQ655422:JPS655422 JZM655422:JZO655422 KJI655422:KJK655422 KTE655422:KTG655422 LDA655422:LDC655422 LMW655422:LMY655422 LWS655422:LWU655422 MGO655422:MGQ655422 MQK655422:MQM655422 NAG655422:NAI655422 NKC655422:NKE655422 NTY655422:NUA655422 ODU655422:ODW655422 ONQ655422:ONS655422 OXM655422:OXO655422 PHI655422:PHK655422 PRE655422:PRG655422 QBA655422:QBC655422 QKW655422:QKY655422 QUS655422:QUU655422 REO655422:REQ655422 ROK655422:ROM655422 RYG655422:RYI655422 SIC655422:SIE655422 SRY655422:SSA655422 TBU655422:TBW655422 TLQ655422:TLS655422 TVM655422:TVO655422 UFI655422:UFK655422 UPE655422:UPG655422 UZA655422:UZC655422 VIW655422:VIY655422 VSS655422:VSU655422 WCO655422:WCQ655422 WMK655422:WMM655422 WWG655422:WWI655422 Y720958:AA720958 JU720958:JW720958 TQ720958:TS720958 ADM720958:ADO720958 ANI720958:ANK720958 AXE720958:AXG720958 BHA720958:BHC720958 BQW720958:BQY720958 CAS720958:CAU720958 CKO720958:CKQ720958 CUK720958:CUM720958 DEG720958:DEI720958 DOC720958:DOE720958 DXY720958:DYA720958 EHU720958:EHW720958 ERQ720958:ERS720958 FBM720958:FBO720958 FLI720958:FLK720958 FVE720958:FVG720958 GFA720958:GFC720958 GOW720958:GOY720958 GYS720958:GYU720958 HIO720958:HIQ720958 HSK720958:HSM720958 ICG720958:ICI720958 IMC720958:IME720958 IVY720958:IWA720958 JFU720958:JFW720958 JPQ720958:JPS720958 JZM720958:JZO720958 KJI720958:KJK720958 KTE720958:KTG720958 LDA720958:LDC720958 LMW720958:LMY720958 LWS720958:LWU720958 MGO720958:MGQ720958 MQK720958:MQM720958 NAG720958:NAI720958 NKC720958:NKE720958 NTY720958:NUA720958 ODU720958:ODW720958 ONQ720958:ONS720958 OXM720958:OXO720958 PHI720958:PHK720958 PRE720958:PRG720958 QBA720958:QBC720958 QKW720958:QKY720958 QUS720958:QUU720958 REO720958:REQ720958 ROK720958:ROM720958 RYG720958:RYI720958 SIC720958:SIE720958 SRY720958:SSA720958 TBU720958:TBW720958 TLQ720958:TLS720958 TVM720958:TVO720958 UFI720958:UFK720958 UPE720958:UPG720958 UZA720958:UZC720958 VIW720958:VIY720958 VSS720958:VSU720958 WCO720958:WCQ720958 WMK720958:WMM720958 WWG720958:WWI720958 Y786494:AA786494 JU786494:JW786494 TQ786494:TS786494 ADM786494:ADO786494 ANI786494:ANK786494 AXE786494:AXG786494 BHA786494:BHC786494 BQW786494:BQY786494 CAS786494:CAU786494 CKO786494:CKQ786494 CUK786494:CUM786494 DEG786494:DEI786494 DOC786494:DOE786494 DXY786494:DYA786494 EHU786494:EHW786494 ERQ786494:ERS786494 FBM786494:FBO786494 FLI786494:FLK786494 FVE786494:FVG786494 GFA786494:GFC786494 GOW786494:GOY786494 GYS786494:GYU786494 HIO786494:HIQ786494 HSK786494:HSM786494 ICG786494:ICI786494 IMC786494:IME786494 IVY786494:IWA786494 JFU786494:JFW786494 JPQ786494:JPS786494 JZM786494:JZO786494 KJI786494:KJK786494 KTE786494:KTG786494 LDA786494:LDC786494 LMW786494:LMY786494 LWS786494:LWU786494 MGO786494:MGQ786494 MQK786494:MQM786494 NAG786494:NAI786494 NKC786494:NKE786494 NTY786494:NUA786494 ODU786494:ODW786494 ONQ786494:ONS786494 OXM786494:OXO786494 PHI786494:PHK786494 PRE786494:PRG786494 QBA786494:QBC786494 QKW786494:QKY786494 QUS786494:QUU786494 REO786494:REQ786494 ROK786494:ROM786494 RYG786494:RYI786494 SIC786494:SIE786494 SRY786494:SSA786494 TBU786494:TBW786494 TLQ786494:TLS786494 TVM786494:TVO786494 UFI786494:UFK786494 UPE786494:UPG786494 UZA786494:UZC786494 VIW786494:VIY786494 VSS786494:VSU786494 WCO786494:WCQ786494 WMK786494:WMM786494 WWG786494:WWI786494 Y852030:AA852030 JU852030:JW852030 TQ852030:TS852030 ADM852030:ADO852030 ANI852030:ANK852030 AXE852030:AXG852030 BHA852030:BHC852030 BQW852030:BQY852030 CAS852030:CAU852030 CKO852030:CKQ852030 CUK852030:CUM852030 DEG852030:DEI852030 DOC852030:DOE852030 DXY852030:DYA852030 EHU852030:EHW852030 ERQ852030:ERS852030 FBM852030:FBO852030 FLI852030:FLK852030 FVE852030:FVG852030 GFA852030:GFC852030 GOW852030:GOY852030 GYS852030:GYU852030 HIO852030:HIQ852030 HSK852030:HSM852030 ICG852030:ICI852030 IMC852030:IME852030 IVY852030:IWA852030 JFU852030:JFW852030 JPQ852030:JPS852030 JZM852030:JZO852030 KJI852030:KJK852030 KTE852030:KTG852030 LDA852030:LDC852030 LMW852030:LMY852030 LWS852030:LWU852030 MGO852030:MGQ852030 MQK852030:MQM852030 NAG852030:NAI852030 NKC852030:NKE852030 NTY852030:NUA852030 ODU852030:ODW852030 ONQ852030:ONS852030 OXM852030:OXO852030 PHI852030:PHK852030 PRE852030:PRG852030 QBA852030:QBC852030 QKW852030:QKY852030 QUS852030:QUU852030 REO852030:REQ852030 ROK852030:ROM852030 RYG852030:RYI852030 SIC852030:SIE852030 SRY852030:SSA852030 TBU852030:TBW852030 TLQ852030:TLS852030 TVM852030:TVO852030 UFI852030:UFK852030 UPE852030:UPG852030 UZA852030:UZC852030 VIW852030:VIY852030 VSS852030:VSU852030 WCO852030:WCQ852030 WMK852030:WMM852030 WWG852030:WWI852030 Y917566:AA917566 JU917566:JW917566 TQ917566:TS917566 ADM917566:ADO917566 ANI917566:ANK917566 AXE917566:AXG917566 BHA917566:BHC917566 BQW917566:BQY917566 CAS917566:CAU917566 CKO917566:CKQ917566 CUK917566:CUM917566 DEG917566:DEI917566 DOC917566:DOE917566 DXY917566:DYA917566 EHU917566:EHW917566 ERQ917566:ERS917566 FBM917566:FBO917566 FLI917566:FLK917566 FVE917566:FVG917566 GFA917566:GFC917566 GOW917566:GOY917566 GYS917566:GYU917566 HIO917566:HIQ917566 HSK917566:HSM917566 ICG917566:ICI917566 IMC917566:IME917566 IVY917566:IWA917566 JFU917566:JFW917566 JPQ917566:JPS917566 JZM917566:JZO917566 KJI917566:KJK917566 KTE917566:KTG917566 LDA917566:LDC917566 LMW917566:LMY917566 LWS917566:LWU917566 MGO917566:MGQ917566 MQK917566:MQM917566 NAG917566:NAI917566 NKC917566:NKE917566 NTY917566:NUA917566 ODU917566:ODW917566 ONQ917566:ONS917566 OXM917566:OXO917566 PHI917566:PHK917566 PRE917566:PRG917566 QBA917566:QBC917566 QKW917566:QKY917566 QUS917566:QUU917566 REO917566:REQ917566 ROK917566:ROM917566 RYG917566:RYI917566 SIC917566:SIE917566 SRY917566:SSA917566 TBU917566:TBW917566 TLQ917566:TLS917566 TVM917566:TVO917566 UFI917566:UFK917566 UPE917566:UPG917566 UZA917566:UZC917566 VIW917566:VIY917566 VSS917566:VSU917566 WCO917566:WCQ917566 WMK917566:WMM917566 WWG917566:WWI917566 Y983102:AA983102 JU983102:JW983102 TQ983102:TS983102 ADM983102:ADO983102 ANI983102:ANK983102 AXE983102:AXG983102 BHA983102:BHC983102 BQW983102:BQY983102 CAS983102:CAU983102 CKO983102:CKQ983102 CUK983102:CUM983102 DEG983102:DEI983102 DOC983102:DOE983102 DXY983102:DYA983102 EHU983102:EHW983102 ERQ983102:ERS983102 FBM983102:FBO983102 FLI983102:FLK983102 FVE983102:FVG983102 GFA983102:GFC983102 GOW983102:GOY983102 GYS983102:GYU983102 HIO983102:HIQ983102 HSK983102:HSM983102 ICG983102:ICI983102 IMC983102:IME983102 IVY983102:IWA983102 JFU983102:JFW983102 JPQ983102:JPS983102 JZM983102:JZO983102 KJI983102:KJK983102 KTE983102:KTG983102 LDA983102:LDC983102 LMW983102:LMY983102 LWS983102:LWU983102 MGO983102:MGQ983102 MQK983102:MQM983102 NAG983102:NAI983102 NKC983102:NKE983102 NTY983102:NUA983102 ODU983102:ODW983102 ONQ983102:ONS983102 OXM983102:OXO983102 PHI983102:PHK983102 PRE983102:PRG983102 QBA983102:QBC983102 QKW983102:QKY983102 QUS983102:QUU983102 REO983102:REQ983102 ROK983102:ROM983102 RYG983102:RYI983102 SIC983102:SIE983102 SRY983102:SSA983102 TBU983102:TBW983102 TLQ983102:TLS983102 TVM983102:TVO983102 UFI983102:UFK983102 UPE983102:UPG983102 UZA983102:UZC983102 VIW983102:VIY983102 VSS983102:VSU983102 WCO983102:WCQ983102 WMK983102:WMM983102 WWG983102:WWI983102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BZ84"/>
  <sheetViews>
    <sheetView showGridLines="0" topLeftCell="CA1" zoomScale="80" zoomScaleNormal="80" workbookViewId="0">
      <selection sqref="A1:BZ1048576"/>
    </sheetView>
  </sheetViews>
  <sheetFormatPr defaultRowHeight="12" x14ac:dyDescent="0.2"/>
  <cols>
    <col min="1" max="1" width="8.88671875" style="1039" hidden="1" customWidth="1"/>
    <col min="2" max="2" width="2.88671875" style="1039" hidden="1" customWidth="1"/>
    <col min="3" max="3" width="5.21875" style="1037" hidden="1" customWidth="1"/>
    <col min="4" max="4" width="20.109375" style="1039" hidden="1" customWidth="1"/>
    <col min="5" max="5" width="10.6640625" style="1039" hidden="1" customWidth="1"/>
    <col min="6" max="6" width="18" style="1039" hidden="1" customWidth="1"/>
    <col min="7" max="7" width="4.33203125" style="1037" hidden="1" customWidth="1"/>
    <col min="8" max="8" width="16.5546875" style="1039" hidden="1" customWidth="1"/>
    <col min="9" max="9" width="8.77734375" style="1039" hidden="1" customWidth="1"/>
    <col min="10" max="10" width="4.77734375" style="1037" hidden="1" customWidth="1"/>
    <col min="11" max="11" width="6.21875" style="1039" hidden="1" customWidth="1"/>
    <col min="12" max="12" width="7.109375" style="1039" hidden="1" customWidth="1"/>
    <col min="13" max="13" width="4.77734375" style="1037" hidden="1" customWidth="1"/>
    <col min="14" max="14" width="22.77734375" style="1039" hidden="1" customWidth="1"/>
    <col min="15" max="15" width="12.109375" style="1073" hidden="1" customWidth="1"/>
    <col min="16" max="16" width="12" style="1039" hidden="1" customWidth="1"/>
    <col min="17" max="17" width="4.44140625" style="1037" hidden="1" customWidth="1"/>
    <col min="18" max="18" width="10.109375" style="1039" hidden="1" customWidth="1"/>
    <col min="19" max="19" width="7.21875" style="1039" hidden="1" customWidth="1"/>
    <col min="20" max="20" width="13" style="1039" hidden="1" customWidth="1"/>
    <col min="21" max="21" width="4" style="1037" hidden="1" customWidth="1"/>
    <col min="22" max="22" width="28.88671875" style="1039" hidden="1" customWidth="1"/>
    <col min="23" max="23" width="10.33203125" style="1039" hidden="1" customWidth="1"/>
    <col min="24" max="24" width="4.33203125" style="1037" hidden="1" customWidth="1"/>
    <col min="25" max="25" width="20.6640625" style="1039" hidden="1" customWidth="1"/>
    <col min="26" max="27" width="11.109375" style="1039" hidden="1" customWidth="1"/>
    <col min="28" max="28" width="17.6640625" style="1039" hidden="1" customWidth="1"/>
    <col min="29" max="29" width="12.6640625" style="1039" hidden="1" customWidth="1"/>
    <col min="30" max="32" width="15.109375" style="1039" hidden="1" customWidth="1"/>
    <col min="33" max="35" width="8.88671875" style="1039" hidden="1" customWidth="1"/>
    <col min="36" max="36" width="33" style="1039" hidden="1" customWidth="1"/>
    <col min="37" max="38" width="12.44140625" style="1039" hidden="1" customWidth="1"/>
    <col min="39" max="42" width="9.33203125" style="1039" hidden="1" customWidth="1"/>
    <col min="43" max="43" width="19.5546875" style="1039" hidden="1" customWidth="1"/>
    <col min="44" max="46" width="8.88671875" style="1039" hidden="1" customWidth="1"/>
    <col min="47" max="47" width="15.44140625" style="1039" hidden="1" customWidth="1"/>
    <col min="48" max="78" width="8.88671875" style="1039" hidden="1" customWidth="1"/>
    <col min="79" max="256" width="8.88671875" style="1039"/>
    <col min="257" max="257" width="8.88671875" style="1039" customWidth="1"/>
    <col min="258" max="258" width="2.88671875" style="1039" customWidth="1"/>
    <col min="259" max="259" width="5.21875" style="1039" customWidth="1"/>
    <col min="260" max="260" width="20.109375" style="1039" customWidth="1"/>
    <col min="261" max="261" width="10.6640625" style="1039" customWidth="1"/>
    <col min="262" max="262" width="18" style="1039" customWidth="1"/>
    <col min="263" max="263" width="4.33203125" style="1039" customWidth="1"/>
    <col min="264" max="264" width="16.5546875" style="1039" customWidth="1"/>
    <col min="265" max="265" width="8.77734375" style="1039" customWidth="1"/>
    <col min="266" max="266" width="4.77734375" style="1039" customWidth="1"/>
    <col min="267" max="267" width="6.21875" style="1039" customWidth="1"/>
    <col min="268" max="268" width="7.109375" style="1039" customWidth="1"/>
    <col min="269" max="269" width="4.77734375" style="1039" customWidth="1"/>
    <col min="270" max="270" width="22.77734375" style="1039" customWidth="1"/>
    <col min="271" max="271" width="12.109375" style="1039" customWidth="1"/>
    <col min="272" max="272" width="12" style="1039" customWidth="1"/>
    <col min="273" max="273" width="4.44140625" style="1039" customWidth="1"/>
    <col min="274" max="274" width="10.109375" style="1039" customWidth="1"/>
    <col min="275" max="275" width="7.21875" style="1039" customWidth="1"/>
    <col min="276" max="276" width="13" style="1039" customWidth="1"/>
    <col min="277" max="277" width="4" style="1039" customWidth="1"/>
    <col min="278" max="278" width="28.88671875" style="1039" bestFit="1" customWidth="1"/>
    <col min="279" max="279" width="10.33203125" style="1039" customWidth="1"/>
    <col min="280" max="280" width="4.33203125" style="1039" customWidth="1"/>
    <col min="281" max="281" width="20.6640625" style="1039" customWidth="1"/>
    <col min="282" max="283" width="11.109375" style="1039" customWidth="1"/>
    <col min="284" max="284" width="17.6640625" style="1039" customWidth="1"/>
    <col min="285" max="285" width="12.6640625" style="1039" customWidth="1"/>
    <col min="286" max="288" width="15.109375" style="1039" customWidth="1"/>
    <col min="289" max="291" width="8.88671875" style="1039" customWidth="1"/>
    <col min="292" max="292" width="33" style="1039" customWidth="1"/>
    <col min="293" max="294" width="12.44140625" style="1039" customWidth="1"/>
    <col min="295" max="298" width="9.33203125" style="1039" customWidth="1"/>
    <col min="299" max="299" width="19.5546875" style="1039" customWidth="1"/>
    <col min="300" max="302" width="8.88671875" style="1039" customWidth="1"/>
    <col min="303" max="303" width="15.44140625" style="1039" customWidth="1"/>
    <col min="304" max="334" width="8.88671875" style="1039" customWidth="1"/>
    <col min="335" max="512" width="8.88671875" style="1039"/>
    <col min="513" max="513" width="8.88671875" style="1039" customWidth="1"/>
    <col min="514" max="514" width="2.88671875" style="1039" customWidth="1"/>
    <col min="515" max="515" width="5.21875" style="1039" customWidth="1"/>
    <col min="516" max="516" width="20.109375" style="1039" customWidth="1"/>
    <col min="517" max="517" width="10.6640625" style="1039" customWidth="1"/>
    <col min="518" max="518" width="18" style="1039" customWidth="1"/>
    <col min="519" max="519" width="4.33203125" style="1039" customWidth="1"/>
    <col min="520" max="520" width="16.5546875" style="1039" customWidth="1"/>
    <col min="521" max="521" width="8.77734375" style="1039" customWidth="1"/>
    <col min="522" max="522" width="4.77734375" style="1039" customWidth="1"/>
    <col min="523" max="523" width="6.21875" style="1039" customWidth="1"/>
    <col min="524" max="524" width="7.109375" style="1039" customWidth="1"/>
    <col min="525" max="525" width="4.77734375" style="1039" customWidth="1"/>
    <col min="526" max="526" width="22.77734375" style="1039" customWidth="1"/>
    <col min="527" max="527" width="12.109375" style="1039" customWidth="1"/>
    <col min="528" max="528" width="12" style="1039" customWidth="1"/>
    <col min="529" max="529" width="4.44140625" style="1039" customWidth="1"/>
    <col min="530" max="530" width="10.109375" style="1039" customWidth="1"/>
    <col min="531" max="531" width="7.21875" style="1039" customWidth="1"/>
    <col min="532" max="532" width="13" style="1039" customWidth="1"/>
    <col min="533" max="533" width="4" style="1039" customWidth="1"/>
    <col min="534" max="534" width="28.88671875" style="1039" bestFit="1" customWidth="1"/>
    <col min="535" max="535" width="10.33203125" style="1039" customWidth="1"/>
    <col min="536" max="536" width="4.33203125" style="1039" customWidth="1"/>
    <col min="537" max="537" width="20.6640625" style="1039" customWidth="1"/>
    <col min="538" max="539" width="11.109375" style="1039" customWidth="1"/>
    <col min="540" max="540" width="17.6640625" style="1039" customWidth="1"/>
    <col min="541" max="541" width="12.6640625" style="1039" customWidth="1"/>
    <col min="542" max="544" width="15.109375" style="1039" customWidth="1"/>
    <col min="545" max="547" width="8.88671875" style="1039" customWidth="1"/>
    <col min="548" max="548" width="33" style="1039" customWidth="1"/>
    <col min="549" max="550" width="12.44140625" style="1039" customWidth="1"/>
    <col min="551" max="554" width="9.33203125" style="1039" customWidth="1"/>
    <col min="555" max="555" width="19.5546875" style="1039" customWidth="1"/>
    <col min="556" max="558" width="8.88671875" style="1039" customWidth="1"/>
    <col min="559" max="559" width="15.44140625" style="1039" customWidth="1"/>
    <col min="560" max="590" width="8.88671875" style="1039" customWidth="1"/>
    <col min="591" max="768" width="8.88671875" style="1039"/>
    <col min="769" max="769" width="8.88671875" style="1039" customWidth="1"/>
    <col min="770" max="770" width="2.88671875" style="1039" customWidth="1"/>
    <col min="771" max="771" width="5.21875" style="1039" customWidth="1"/>
    <col min="772" max="772" width="20.109375" style="1039" customWidth="1"/>
    <col min="773" max="773" width="10.6640625" style="1039" customWidth="1"/>
    <col min="774" max="774" width="18" style="1039" customWidth="1"/>
    <col min="775" max="775" width="4.33203125" style="1039" customWidth="1"/>
    <col min="776" max="776" width="16.5546875" style="1039" customWidth="1"/>
    <col min="777" max="777" width="8.77734375" style="1039" customWidth="1"/>
    <col min="778" max="778" width="4.77734375" style="1039" customWidth="1"/>
    <col min="779" max="779" width="6.21875" style="1039" customWidth="1"/>
    <col min="780" max="780" width="7.109375" style="1039" customWidth="1"/>
    <col min="781" max="781" width="4.77734375" style="1039" customWidth="1"/>
    <col min="782" max="782" width="22.77734375" style="1039" customWidth="1"/>
    <col min="783" max="783" width="12.109375" style="1039" customWidth="1"/>
    <col min="784" max="784" width="12" style="1039" customWidth="1"/>
    <col min="785" max="785" width="4.44140625" style="1039" customWidth="1"/>
    <col min="786" max="786" width="10.109375" style="1039" customWidth="1"/>
    <col min="787" max="787" width="7.21875" style="1039" customWidth="1"/>
    <col min="788" max="788" width="13" style="1039" customWidth="1"/>
    <col min="789" max="789" width="4" style="1039" customWidth="1"/>
    <col min="790" max="790" width="28.88671875" style="1039" bestFit="1" customWidth="1"/>
    <col min="791" max="791" width="10.33203125" style="1039" customWidth="1"/>
    <col min="792" max="792" width="4.33203125" style="1039" customWidth="1"/>
    <col min="793" max="793" width="20.6640625" style="1039" customWidth="1"/>
    <col min="794" max="795" width="11.109375" style="1039" customWidth="1"/>
    <col min="796" max="796" width="17.6640625" style="1039" customWidth="1"/>
    <col min="797" max="797" width="12.6640625" style="1039" customWidth="1"/>
    <col min="798" max="800" width="15.109375" style="1039" customWidth="1"/>
    <col min="801" max="803" width="8.88671875" style="1039" customWidth="1"/>
    <col min="804" max="804" width="33" style="1039" customWidth="1"/>
    <col min="805" max="806" width="12.44140625" style="1039" customWidth="1"/>
    <col min="807" max="810" width="9.33203125" style="1039" customWidth="1"/>
    <col min="811" max="811" width="19.5546875" style="1039" customWidth="1"/>
    <col min="812" max="814" width="8.88671875" style="1039" customWidth="1"/>
    <col min="815" max="815" width="15.44140625" style="1039" customWidth="1"/>
    <col min="816" max="846" width="8.88671875" style="1039" customWidth="1"/>
    <col min="847" max="1024" width="8.88671875" style="1039"/>
    <col min="1025" max="1025" width="8.88671875" style="1039" customWidth="1"/>
    <col min="1026" max="1026" width="2.88671875" style="1039" customWidth="1"/>
    <col min="1027" max="1027" width="5.21875" style="1039" customWidth="1"/>
    <col min="1028" max="1028" width="20.109375" style="1039" customWidth="1"/>
    <col min="1029" max="1029" width="10.6640625" style="1039" customWidth="1"/>
    <col min="1030" max="1030" width="18" style="1039" customWidth="1"/>
    <col min="1031" max="1031" width="4.33203125" style="1039" customWidth="1"/>
    <col min="1032" max="1032" width="16.5546875" style="1039" customWidth="1"/>
    <col min="1033" max="1033" width="8.77734375" style="1039" customWidth="1"/>
    <col min="1034" max="1034" width="4.77734375" style="1039" customWidth="1"/>
    <col min="1035" max="1035" width="6.21875" style="1039" customWidth="1"/>
    <col min="1036" max="1036" width="7.109375" style="1039" customWidth="1"/>
    <col min="1037" max="1037" width="4.77734375" style="1039" customWidth="1"/>
    <col min="1038" max="1038" width="22.77734375" style="1039" customWidth="1"/>
    <col min="1039" max="1039" width="12.109375" style="1039" customWidth="1"/>
    <col min="1040" max="1040" width="12" style="1039" customWidth="1"/>
    <col min="1041" max="1041" width="4.44140625" style="1039" customWidth="1"/>
    <col min="1042" max="1042" width="10.109375" style="1039" customWidth="1"/>
    <col min="1043" max="1043" width="7.21875" style="1039" customWidth="1"/>
    <col min="1044" max="1044" width="13" style="1039" customWidth="1"/>
    <col min="1045" max="1045" width="4" style="1039" customWidth="1"/>
    <col min="1046" max="1046" width="28.88671875" style="1039" bestFit="1" customWidth="1"/>
    <col min="1047" max="1047" width="10.33203125" style="1039" customWidth="1"/>
    <col min="1048" max="1048" width="4.33203125" style="1039" customWidth="1"/>
    <col min="1049" max="1049" width="20.6640625" style="1039" customWidth="1"/>
    <col min="1050" max="1051" width="11.109375" style="1039" customWidth="1"/>
    <col min="1052" max="1052" width="17.6640625" style="1039" customWidth="1"/>
    <col min="1053" max="1053" width="12.6640625" style="1039" customWidth="1"/>
    <col min="1054" max="1056" width="15.109375" style="1039" customWidth="1"/>
    <col min="1057" max="1059" width="8.88671875" style="1039" customWidth="1"/>
    <col min="1060" max="1060" width="33" style="1039" customWidth="1"/>
    <col min="1061" max="1062" width="12.44140625" style="1039" customWidth="1"/>
    <col min="1063" max="1066" width="9.33203125" style="1039" customWidth="1"/>
    <col min="1067" max="1067" width="19.5546875" style="1039" customWidth="1"/>
    <col min="1068" max="1070" width="8.88671875" style="1039" customWidth="1"/>
    <col min="1071" max="1071" width="15.44140625" style="1039" customWidth="1"/>
    <col min="1072" max="1102" width="8.88671875" style="1039" customWidth="1"/>
    <col min="1103" max="1280" width="8.88671875" style="1039"/>
    <col min="1281" max="1281" width="8.88671875" style="1039" customWidth="1"/>
    <col min="1282" max="1282" width="2.88671875" style="1039" customWidth="1"/>
    <col min="1283" max="1283" width="5.21875" style="1039" customWidth="1"/>
    <col min="1284" max="1284" width="20.109375" style="1039" customWidth="1"/>
    <col min="1285" max="1285" width="10.6640625" style="1039" customWidth="1"/>
    <col min="1286" max="1286" width="18" style="1039" customWidth="1"/>
    <col min="1287" max="1287" width="4.33203125" style="1039" customWidth="1"/>
    <col min="1288" max="1288" width="16.5546875" style="1039" customWidth="1"/>
    <col min="1289" max="1289" width="8.77734375" style="1039" customWidth="1"/>
    <col min="1290" max="1290" width="4.77734375" style="1039" customWidth="1"/>
    <col min="1291" max="1291" width="6.21875" style="1039" customWidth="1"/>
    <col min="1292" max="1292" width="7.109375" style="1039" customWidth="1"/>
    <col min="1293" max="1293" width="4.77734375" style="1039" customWidth="1"/>
    <col min="1294" max="1294" width="22.77734375" style="1039" customWidth="1"/>
    <col min="1295" max="1295" width="12.109375" style="1039" customWidth="1"/>
    <col min="1296" max="1296" width="12" style="1039" customWidth="1"/>
    <col min="1297" max="1297" width="4.44140625" style="1039" customWidth="1"/>
    <col min="1298" max="1298" width="10.109375" style="1039" customWidth="1"/>
    <col min="1299" max="1299" width="7.21875" style="1039" customWidth="1"/>
    <col min="1300" max="1300" width="13" style="1039" customWidth="1"/>
    <col min="1301" max="1301" width="4" style="1039" customWidth="1"/>
    <col min="1302" max="1302" width="28.88671875" style="1039" bestFit="1" customWidth="1"/>
    <col min="1303" max="1303" width="10.33203125" style="1039" customWidth="1"/>
    <col min="1304" max="1304" width="4.33203125" style="1039" customWidth="1"/>
    <col min="1305" max="1305" width="20.6640625" style="1039" customWidth="1"/>
    <col min="1306" max="1307" width="11.109375" style="1039" customWidth="1"/>
    <col min="1308" max="1308" width="17.6640625" style="1039" customWidth="1"/>
    <col min="1309" max="1309" width="12.6640625" style="1039" customWidth="1"/>
    <col min="1310" max="1312" width="15.109375" style="1039" customWidth="1"/>
    <col min="1313" max="1315" width="8.88671875" style="1039" customWidth="1"/>
    <col min="1316" max="1316" width="33" style="1039" customWidth="1"/>
    <col min="1317" max="1318" width="12.44140625" style="1039" customWidth="1"/>
    <col min="1319" max="1322" width="9.33203125" style="1039" customWidth="1"/>
    <col min="1323" max="1323" width="19.5546875" style="1039" customWidth="1"/>
    <col min="1324" max="1326" width="8.88671875" style="1039" customWidth="1"/>
    <col min="1327" max="1327" width="15.44140625" style="1039" customWidth="1"/>
    <col min="1328" max="1358" width="8.88671875" style="1039" customWidth="1"/>
    <col min="1359" max="1536" width="8.88671875" style="1039"/>
    <col min="1537" max="1537" width="8.88671875" style="1039" customWidth="1"/>
    <col min="1538" max="1538" width="2.88671875" style="1039" customWidth="1"/>
    <col min="1539" max="1539" width="5.21875" style="1039" customWidth="1"/>
    <col min="1540" max="1540" width="20.109375" style="1039" customWidth="1"/>
    <col min="1541" max="1541" width="10.6640625" style="1039" customWidth="1"/>
    <col min="1542" max="1542" width="18" style="1039" customWidth="1"/>
    <col min="1543" max="1543" width="4.33203125" style="1039" customWidth="1"/>
    <col min="1544" max="1544" width="16.5546875" style="1039" customWidth="1"/>
    <col min="1545" max="1545" width="8.77734375" style="1039" customWidth="1"/>
    <col min="1546" max="1546" width="4.77734375" style="1039" customWidth="1"/>
    <col min="1547" max="1547" width="6.21875" style="1039" customWidth="1"/>
    <col min="1548" max="1548" width="7.109375" style="1039" customWidth="1"/>
    <col min="1549" max="1549" width="4.77734375" style="1039" customWidth="1"/>
    <col min="1550" max="1550" width="22.77734375" style="1039" customWidth="1"/>
    <col min="1551" max="1551" width="12.109375" style="1039" customWidth="1"/>
    <col min="1552" max="1552" width="12" style="1039" customWidth="1"/>
    <col min="1553" max="1553" width="4.44140625" style="1039" customWidth="1"/>
    <col min="1554" max="1554" width="10.109375" style="1039" customWidth="1"/>
    <col min="1555" max="1555" width="7.21875" style="1039" customWidth="1"/>
    <col min="1556" max="1556" width="13" style="1039" customWidth="1"/>
    <col min="1557" max="1557" width="4" style="1039" customWidth="1"/>
    <col min="1558" max="1558" width="28.88671875" style="1039" bestFit="1" customWidth="1"/>
    <col min="1559" max="1559" width="10.33203125" style="1039" customWidth="1"/>
    <col min="1560" max="1560" width="4.33203125" style="1039" customWidth="1"/>
    <col min="1561" max="1561" width="20.6640625" style="1039" customWidth="1"/>
    <col min="1562" max="1563" width="11.109375" style="1039" customWidth="1"/>
    <col min="1564" max="1564" width="17.6640625" style="1039" customWidth="1"/>
    <col min="1565" max="1565" width="12.6640625" style="1039" customWidth="1"/>
    <col min="1566" max="1568" width="15.109375" style="1039" customWidth="1"/>
    <col min="1569" max="1571" width="8.88671875" style="1039" customWidth="1"/>
    <col min="1572" max="1572" width="33" style="1039" customWidth="1"/>
    <col min="1573" max="1574" width="12.44140625" style="1039" customWidth="1"/>
    <col min="1575" max="1578" width="9.33203125" style="1039" customWidth="1"/>
    <col min="1579" max="1579" width="19.5546875" style="1039" customWidth="1"/>
    <col min="1580" max="1582" width="8.88671875" style="1039" customWidth="1"/>
    <col min="1583" max="1583" width="15.44140625" style="1039" customWidth="1"/>
    <col min="1584" max="1614" width="8.88671875" style="1039" customWidth="1"/>
    <col min="1615" max="1792" width="8.88671875" style="1039"/>
    <col min="1793" max="1793" width="8.88671875" style="1039" customWidth="1"/>
    <col min="1794" max="1794" width="2.88671875" style="1039" customWidth="1"/>
    <col min="1795" max="1795" width="5.21875" style="1039" customWidth="1"/>
    <col min="1796" max="1796" width="20.109375" style="1039" customWidth="1"/>
    <col min="1797" max="1797" width="10.6640625" style="1039" customWidth="1"/>
    <col min="1798" max="1798" width="18" style="1039" customWidth="1"/>
    <col min="1799" max="1799" width="4.33203125" style="1039" customWidth="1"/>
    <col min="1800" max="1800" width="16.5546875" style="1039" customWidth="1"/>
    <col min="1801" max="1801" width="8.77734375" style="1039" customWidth="1"/>
    <col min="1802" max="1802" width="4.77734375" style="1039" customWidth="1"/>
    <col min="1803" max="1803" width="6.21875" style="1039" customWidth="1"/>
    <col min="1804" max="1804" width="7.109375" style="1039" customWidth="1"/>
    <col min="1805" max="1805" width="4.77734375" style="1039" customWidth="1"/>
    <col min="1806" max="1806" width="22.77734375" style="1039" customWidth="1"/>
    <col min="1807" max="1807" width="12.109375" style="1039" customWidth="1"/>
    <col min="1808" max="1808" width="12" style="1039" customWidth="1"/>
    <col min="1809" max="1809" width="4.44140625" style="1039" customWidth="1"/>
    <col min="1810" max="1810" width="10.109375" style="1039" customWidth="1"/>
    <col min="1811" max="1811" width="7.21875" style="1039" customWidth="1"/>
    <col min="1812" max="1812" width="13" style="1039" customWidth="1"/>
    <col min="1813" max="1813" width="4" style="1039" customWidth="1"/>
    <col min="1814" max="1814" width="28.88671875" style="1039" bestFit="1" customWidth="1"/>
    <col min="1815" max="1815" width="10.33203125" style="1039" customWidth="1"/>
    <col min="1816" max="1816" width="4.33203125" style="1039" customWidth="1"/>
    <col min="1817" max="1817" width="20.6640625" style="1039" customWidth="1"/>
    <col min="1818" max="1819" width="11.109375" style="1039" customWidth="1"/>
    <col min="1820" max="1820" width="17.6640625" style="1039" customWidth="1"/>
    <col min="1821" max="1821" width="12.6640625" style="1039" customWidth="1"/>
    <col min="1822" max="1824" width="15.109375" style="1039" customWidth="1"/>
    <col min="1825" max="1827" width="8.88671875" style="1039" customWidth="1"/>
    <col min="1828" max="1828" width="33" style="1039" customWidth="1"/>
    <col min="1829" max="1830" width="12.44140625" style="1039" customWidth="1"/>
    <col min="1831" max="1834" width="9.33203125" style="1039" customWidth="1"/>
    <col min="1835" max="1835" width="19.5546875" style="1039" customWidth="1"/>
    <col min="1836" max="1838" width="8.88671875" style="1039" customWidth="1"/>
    <col min="1839" max="1839" width="15.44140625" style="1039" customWidth="1"/>
    <col min="1840" max="1870" width="8.88671875" style="1039" customWidth="1"/>
    <col min="1871" max="2048" width="8.88671875" style="1039"/>
    <col min="2049" max="2049" width="8.88671875" style="1039" customWidth="1"/>
    <col min="2050" max="2050" width="2.88671875" style="1039" customWidth="1"/>
    <col min="2051" max="2051" width="5.21875" style="1039" customWidth="1"/>
    <col min="2052" max="2052" width="20.109375" style="1039" customWidth="1"/>
    <col min="2053" max="2053" width="10.6640625" style="1039" customWidth="1"/>
    <col min="2054" max="2054" width="18" style="1039" customWidth="1"/>
    <col min="2055" max="2055" width="4.33203125" style="1039" customWidth="1"/>
    <col min="2056" max="2056" width="16.5546875" style="1039" customWidth="1"/>
    <col min="2057" max="2057" width="8.77734375" style="1039" customWidth="1"/>
    <col min="2058" max="2058" width="4.77734375" style="1039" customWidth="1"/>
    <col min="2059" max="2059" width="6.21875" style="1039" customWidth="1"/>
    <col min="2060" max="2060" width="7.109375" style="1039" customWidth="1"/>
    <col min="2061" max="2061" width="4.77734375" style="1039" customWidth="1"/>
    <col min="2062" max="2062" width="22.77734375" style="1039" customWidth="1"/>
    <col min="2063" max="2063" width="12.109375" style="1039" customWidth="1"/>
    <col min="2064" max="2064" width="12" style="1039" customWidth="1"/>
    <col min="2065" max="2065" width="4.44140625" style="1039" customWidth="1"/>
    <col min="2066" max="2066" width="10.109375" style="1039" customWidth="1"/>
    <col min="2067" max="2067" width="7.21875" style="1039" customWidth="1"/>
    <col min="2068" max="2068" width="13" style="1039" customWidth="1"/>
    <col min="2069" max="2069" width="4" style="1039" customWidth="1"/>
    <col min="2070" max="2070" width="28.88671875" style="1039" bestFit="1" customWidth="1"/>
    <col min="2071" max="2071" width="10.33203125" style="1039" customWidth="1"/>
    <col min="2072" max="2072" width="4.33203125" style="1039" customWidth="1"/>
    <col min="2073" max="2073" width="20.6640625" style="1039" customWidth="1"/>
    <col min="2074" max="2075" width="11.109375" style="1039" customWidth="1"/>
    <col min="2076" max="2076" width="17.6640625" style="1039" customWidth="1"/>
    <col min="2077" max="2077" width="12.6640625" style="1039" customWidth="1"/>
    <col min="2078" max="2080" width="15.109375" style="1039" customWidth="1"/>
    <col min="2081" max="2083" width="8.88671875" style="1039" customWidth="1"/>
    <col min="2084" max="2084" width="33" style="1039" customWidth="1"/>
    <col min="2085" max="2086" width="12.44140625" style="1039" customWidth="1"/>
    <col min="2087" max="2090" width="9.33203125" style="1039" customWidth="1"/>
    <col min="2091" max="2091" width="19.5546875" style="1039" customWidth="1"/>
    <col min="2092" max="2094" width="8.88671875" style="1039" customWidth="1"/>
    <col min="2095" max="2095" width="15.44140625" style="1039" customWidth="1"/>
    <col min="2096" max="2126" width="8.88671875" style="1039" customWidth="1"/>
    <col min="2127" max="2304" width="8.88671875" style="1039"/>
    <col min="2305" max="2305" width="8.88671875" style="1039" customWidth="1"/>
    <col min="2306" max="2306" width="2.88671875" style="1039" customWidth="1"/>
    <col min="2307" max="2307" width="5.21875" style="1039" customWidth="1"/>
    <col min="2308" max="2308" width="20.109375" style="1039" customWidth="1"/>
    <col min="2309" max="2309" width="10.6640625" style="1039" customWidth="1"/>
    <col min="2310" max="2310" width="18" style="1039" customWidth="1"/>
    <col min="2311" max="2311" width="4.33203125" style="1039" customWidth="1"/>
    <col min="2312" max="2312" width="16.5546875" style="1039" customWidth="1"/>
    <col min="2313" max="2313" width="8.77734375" style="1039" customWidth="1"/>
    <col min="2314" max="2314" width="4.77734375" style="1039" customWidth="1"/>
    <col min="2315" max="2315" width="6.21875" style="1039" customWidth="1"/>
    <col min="2316" max="2316" width="7.109375" style="1039" customWidth="1"/>
    <col min="2317" max="2317" width="4.77734375" style="1039" customWidth="1"/>
    <col min="2318" max="2318" width="22.77734375" style="1039" customWidth="1"/>
    <col min="2319" max="2319" width="12.109375" style="1039" customWidth="1"/>
    <col min="2320" max="2320" width="12" style="1039" customWidth="1"/>
    <col min="2321" max="2321" width="4.44140625" style="1039" customWidth="1"/>
    <col min="2322" max="2322" width="10.109375" style="1039" customWidth="1"/>
    <col min="2323" max="2323" width="7.21875" style="1039" customWidth="1"/>
    <col min="2324" max="2324" width="13" style="1039" customWidth="1"/>
    <col min="2325" max="2325" width="4" style="1039" customWidth="1"/>
    <col min="2326" max="2326" width="28.88671875" style="1039" bestFit="1" customWidth="1"/>
    <col min="2327" max="2327" width="10.33203125" style="1039" customWidth="1"/>
    <col min="2328" max="2328" width="4.33203125" style="1039" customWidth="1"/>
    <col min="2329" max="2329" width="20.6640625" style="1039" customWidth="1"/>
    <col min="2330" max="2331" width="11.109375" style="1039" customWidth="1"/>
    <col min="2332" max="2332" width="17.6640625" style="1039" customWidth="1"/>
    <col min="2333" max="2333" width="12.6640625" style="1039" customWidth="1"/>
    <col min="2334" max="2336" width="15.109375" style="1039" customWidth="1"/>
    <col min="2337" max="2339" width="8.88671875" style="1039" customWidth="1"/>
    <col min="2340" max="2340" width="33" style="1039" customWidth="1"/>
    <col min="2341" max="2342" width="12.44140625" style="1039" customWidth="1"/>
    <col min="2343" max="2346" width="9.33203125" style="1039" customWidth="1"/>
    <col min="2347" max="2347" width="19.5546875" style="1039" customWidth="1"/>
    <col min="2348" max="2350" width="8.88671875" style="1039" customWidth="1"/>
    <col min="2351" max="2351" width="15.44140625" style="1039" customWidth="1"/>
    <col min="2352" max="2382" width="8.88671875" style="1039" customWidth="1"/>
    <col min="2383" max="2560" width="8.88671875" style="1039"/>
    <col min="2561" max="2561" width="8.88671875" style="1039" customWidth="1"/>
    <col min="2562" max="2562" width="2.88671875" style="1039" customWidth="1"/>
    <col min="2563" max="2563" width="5.21875" style="1039" customWidth="1"/>
    <col min="2564" max="2564" width="20.109375" style="1039" customWidth="1"/>
    <col min="2565" max="2565" width="10.6640625" style="1039" customWidth="1"/>
    <col min="2566" max="2566" width="18" style="1039" customWidth="1"/>
    <col min="2567" max="2567" width="4.33203125" style="1039" customWidth="1"/>
    <col min="2568" max="2568" width="16.5546875" style="1039" customWidth="1"/>
    <col min="2569" max="2569" width="8.77734375" style="1039" customWidth="1"/>
    <col min="2570" max="2570" width="4.77734375" style="1039" customWidth="1"/>
    <col min="2571" max="2571" width="6.21875" style="1039" customWidth="1"/>
    <col min="2572" max="2572" width="7.109375" style="1039" customWidth="1"/>
    <col min="2573" max="2573" width="4.77734375" style="1039" customWidth="1"/>
    <col min="2574" max="2574" width="22.77734375" style="1039" customWidth="1"/>
    <col min="2575" max="2575" width="12.109375" style="1039" customWidth="1"/>
    <col min="2576" max="2576" width="12" style="1039" customWidth="1"/>
    <col min="2577" max="2577" width="4.44140625" style="1039" customWidth="1"/>
    <col min="2578" max="2578" width="10.109375" style="1039" customWidth="1"/>
    <col min="2579" max="2579" width="7.21875" style="1039" customWidth="1"/>
    <col min="2580" max="2580" width="13" style="1039" customWidth="1"/>
    <col min="2581" max="2581" width="4" style="1039" customWidth="1"/>
    <col min="2582" max="2582" width="28.88671875" style="1039" bestFit="1" customWidth="1"/>
    <col min="2583" max="2583" width="10.33203125" style="1039" customWidth="1"/>
    <col min="2584" max="2584" width="4.33203125" style="1039" customWidth="1"/>
    <col min="2585" max="2585" width="20.6640625" style="1039" customWidth="1"/>
    <col min="2586" max="2587" width="11.109375" style="1039" customWidth="1"/>
    <col min="2588" max="2588" width="17.6640625" style="1039" customWidth="1"/>
    <col min="2589" max="2589" width="12.6640625" style="1039" customWidth="1"/>
    <col min="2590" max="2592" width="15.109375" style="1039" customWidth="1"/>
    <col min="2593" max="2595" width="8.88671875" style="1039" customWidth="1"/>
    <col min="2596" max="2596" width="33" style="1039" customWidth="1"/>
    <col min="2597" max="2598" width="12.44140625" style="1039" customWidth="1"/>
    <col min="2599" max="2602" width="9.33203125" style="1039" customWidth="1"/>
    <col min="2603" max="2603" width="19.5546875" style="1039" customWidth="1"/>
    <col min="2604" max="2606" width="8.88671875" style="1039" customWidth="1"/>
    <col min="2607" max="2607" width="15.44140625" style="1039" customWidth="1"/>
    <col min="2608" max="2638" width="8.88671875" style="1039" customWidth="1"/>
    <col min="2639" max="2816" width="8.88671875" style="1039"/>
    <col min="2817" max="2817" width="8.88671875" style="1039" customWidth="1"/>
    <col min="2818" max="2818" width="2.88671875" style="1039" customWidth="1"/>
    <col min="2819" max="2819" width="5.21875" style="1039" customWidth="1"/>
    <col min="2820" max="2820" width="20.109375" style="1039" customWidth="1"/>
    <col min="2821" max="2821" width="10.6640625" style="1039" customWidth="1"/>
    <col min="2822" max="2822" width="18" style="1039" customWidth="1"/>
    <col min="2823" max="2823" width="4.33203125" style="1039" customWidth="1"/>
    <col min="2824" max="2824" width="16.5546875" style="1039" customWidth="1"/>
    <col min="2825" max="2825" width="8.77734375" style="1039" customWidth="1"/>
    <col min="2826" max="2826" width="4.77734375" style="1039" customWidth="1"/>
    <col min="2827" max="2827" width="6.21875" style="1039" customWidth="1"/>
    <col min="2828" max="2828" width="7.109375" style="1039" customWidth="1"/>
    <col min="2829" max="2829" width="4.77734375" style="1039" customWidth="1"/>
    <col min="2830" max="2830" width="22.77734375" style="1039" customWidth="1"/>
    <col min="2831" max="2831" width="12.109375" style="1039" customWidth="1"/>
    <col min="2832" max="2832" width="12" style="1039" customWidth="1"/>
    <col min="2833" max="2833" width="4.44140625" style="1039" customWidth="1"/>
    <col min="2834" max="2834" width="10.109375" style="1039" customWidth="1"/>
    <col min="2835" max="2835" width="7.21875" style="1039" customWidth="1"/>
    <col min="2836" max="2836" width="13" style="1039" customWidth="1"/>
    <col min="2837" max="2837" width="4" style="1039" customWidth="1"/>
    <col min="2838" max="2838" width="28.88671875" style="1039" bestFit="1" customWidth="1"/>
    <col min="2839" max="2839" width="10.33203125" style="1039" customWidth="1"/>
    <col min="2840" max="2840" width="4.33203125" style="1039" customWidth="1"/>
    <col min="2841" max="2841" width="20.6640625" style="1039" customWidth="1"/>
    <col min="2842" max="2843" width="11.109375" style="1039" customWidth="1"/>
    <col min="2844" max="2844" width="17.6640625" style="1039" customWidth="1"/>
    <col min="2845" max="2845" width="12.6640625" style="1039" customWidth="1"/>
    <col min="2846" max="2848" width="15.109375" style="1039" customWidth="1"/>
    <col min="2849" max="2851" width="8.88671875" style="1039" customWidth="1"/>
    <col min="2852" max="2852" width="33" style="1039" customWidth="1"/>
    <col min="2853" max="2854" width="12.44140625" style="1039" customWidth="1"/>
    <col min="2855" max="2858" width="9.33203125" style="1039" customWidth="1"/>
    <col min="2859" max="2859" width="19.5546875" style="1039" customWidth="1"/>
    <col min="2860" max="2862" width="8.88671875" style="1039" customWidth="1"/>
    <col min="2863" max="2863" width="15.44140625" style="1039" customWidth="1"/>
    <col min="2864" max="2894" width="8.88671875" style="1039" customWidth="1"/>
    <col min="2895" max="3072" width="8.88671875" style="1039"/>
    <col min="3073" max="3073" width="8.88671875" style="1039" customWidth="1"/>
    <col min="3074" max="3074" width="2.88671875" style="1039" customWidth="1"/>
    <col min="3075" max="3075" width="5.21875" style="1039" customWidth="1"/>
    <col min="3076" max="3076" width="20.109375" style="1039" customWidth="1"/>
    <col min="3077" max="3077" width="10.6640625" style="1039" customWidth="1"/>
    <col min="3078" max="3078" width="18" style="1039" customWidth="1"/>
    <col min="3079" max="3079" width="4.33203125" style="1039" customWidth="1"/>
    <col min="3080" max="3080" width="16.5546875" style="1039" customWidth="1"/>
    <col min="3081" max="3081" width="8.77734375" style="1039" customWidth="1"/>
    <col min="3082" max="3082" width="4.77734375" style="1039" customWidth="1"/>
    <col min="3083" max="3083" width="6.21875" style="1039" customWidth="1"/>
    <col min="3084" max="3084" width="7.109375" style="1039" customWidth="1"/>
    <col min="3085" max="3085" width="4.77734375" style="1039" customWidth="1"/>
    <col min="3086" max="3086" width="22.77734375" style="1039" customWidth="1"/>
    <col min="3087" max="3087" width="12.109375" style="1039" customWidth="1"/>
    <col min="3088" max="3088" width="12" style="1039" customWidth="1"/>
    <col min="3089" max="3089" width="4.44140625" style="1039" customWidth="1"/>
    <col min="3090" max="3090" width="10.109375" style="1039" customWidth="1"/>
    <col min="3091" max="3091" width="7.21875" style="1039" customWidth="1"/>
    <col min="3092" max="3092" width="13" style="1039" customWidth="1"/>
    <col min="3093" max="3093" width="4" style="1039" customWidth="1"/>
    <col min="3094" max="3094" width="28.88671875" style="1039" bestFit="1" customWidth="1"/>
    <col min="3095" max="3095" width="10.33203125" style="1039" customWidth="1"/>
    <col min="3096" max="3096" width="4.33203125" style="1039" customWidth="1"/>
    <col min="3097" max="3097" width="20.6640625" style="1039" customWidth="1"/>
    <col min="3098" max="3099" width="11.109375" style="1039" customWidth="1"/>
    <col min="3100" max="3100" width="17.6640625" style="1039" customWidth="1"/>
    <col min="3101" max="3101" width="12.6640625" style="1039" customWidth="1"/>
    <col min="3102" max="3104" width="15.109375" style="1039" customWidth="1"/>
    <col min="3105" max="3107" width="8.88671875" style="1039" customWidth="1"/>
    <col min="3108" max="3108" width="33" style="1039" customWidth="1"/>
    <col min="3109" max="3110" width="12.44140625" style="1039" customWidth="1"/>
    <col min="3111" max="3114" width="9.33203125" style="1039" customWidth="1"/>
    <col min="3115" max="3115" width="19.5546875" style="1039" customWidth="1"/>
    <col min="3116" max="3118" width="8.88671875" style="1039" customWidth="1"/>
    <col min="3119" max="3119" width="15.44140625" style="1039" customWidth="1"/>
    <col min="3120" max="3150" width="8.88671875" style="1039" customWidth="1"/>
    <col min="3151" max="3328" width="8.88671875" style="1039"/>
    <col min="3329" max="3329" width="8.88671875" style="1039" customWidth="1"/>
    <col min="3330" max="3330" width="2.88671875" style="1039" customWidth="1"/>
    <col min="3331" max="3331" width="5.21875" style="1039" customWidth="1"/>
    <col min="3332" max="3332" width="20.109375" style="1039" customWidth="1"/>
    <col min="3333" max="3333" width="10.6640625" style="1039" customWidth="1"/>
    <col min="3334" max="3334" width="18" style="1039" customWidth="1"/>
    <col min="3335" max="3335" width="4.33203125" style="1039" customWidth="1"/>
    <col min="3336" max="3336" width="16.5546875" style="1039" customWidth="1"/>
    <col min="3337" max="3337" width="8.77734375" style="1039" customWidth="1"/>
    <col min="3338" max="3338" width="4.77734375" style="1039" customWidth="1"/>
    <col min="3339" max="3339" width="6.21875" style="1039" customWidth="1"/>
    <col min="3340" max="3340" width="7.109375" style="1039" customWidth="1"/>
    <col min="3341" max="3341" width="4.77734375" style="1039" customWidth="1"/>
    <col min="3342" max="3342" width="22.77734375" style="1039" customWidth="1"/>
    <col min="3343" max="3343" width="12.109375" style="1039" customWidth="1"/>
    <col min="3344" max="3344" width="12" style="1039" customWidth="1"/>
    <col min="3345" max="3345" width="4.44140625" style="1039" customWidth="1"/>
    <col min="3346" max="3346" width="10.109375" style="1039" customWidth="1"/>
    <col min="3347" max="3347" width="7.21875" style="1039" customWidth="1"/>
    <col min="3348" max="3348" width="13" style="1039" customWidth="1"/>
    <col min="3349" max="3349" width="4" style="1039" customWidth="1"/>
    <col min="3350" max="3350" width="28.88671875" style="1039" bestFit="1" customWidth="1"/>
    <col min="3351" max="3351" width="10.33203125" style="1039" customWidth="1"/>
    <col min="3352" max="3352" width="4.33203125" style="1039" customWidth="1"/>
    <col min="3353" max="3353" width="20.6640625" style="1039" customWidth="1"/>
    <col min="3354" max="3355" width="11.109375" style="1039" customWidth="1"/>
    <col min="3356" max="3356" width="17.6640625" style="1039" customWidth="1"/>
    <col min="3357" max="3357" width="12.6640625" style="1039" customWidth="1"/>
    <col min="3358" max="3360" width="15.109375" style="1039" customWidth="1"/>
    <col min="3361" max="3363" width="8.88671875" style="1039" customWidth="1"/>
    <col min="3364" max="3364" width="33" style="1039" customWidth="1"/>
    <col min="3365" max="3366" width="12.44140625" style="1039" customWidth="1"/>
    <col min="3367" max="3370" width="9.33203125" style="1039" customWidth="1"/>
    <col min="3371" max="3371" width="19.5546875" style="1039" customWidth="1"/>
    <col min="3372" max="3374" width="8.88671875" style="1039" customWidth="1"/>
    <col min="3375" max="3375" width="15.44140625" style="1039" customWidth="1"/>
    <col min="3376" max="3406" width="8.88671875" style="1039" customWidth="1"/>
    <col min="3407" max="3584" width="8.88671875" style="1039"/>
    <col min="3585" max="3585" width="8.88671875" style="1039" customWidth="1"/>
    <col min="3586" max="3586" width="2.88671875" style="1039" customWidth="1"/>
    <col min="3587" max="3587" width="5.21875" style="1039" customWidth="1"/>
    <col min="3588" max="3588" width="20.109375" style="1039" customWidth="1"/>
    <col min="3589" max="3589" width="10.6640625" style="1039" customWidth="1"/>
    <col min="3590" max="3590" width="18" style="1039" customWidth="1"/>
    <col min="3591" max="3591" width="4.33203125" style="1039" customWidth="1"/>
    <col min="3592" max="3592" width="16.5546875" style="1039" customWidth="1"/>
    <col min="3593" max="3593" width="8.77734375" style="1039" customWidth="1"/>
    <col min="3594" max="3594" width="4.77734375" style="1039" customWidth="1"/>
    <col min="3595" max="3595" width="6.21875" style="1039" customWidth="1"/>
    <col min="3596" max="3596" width="7.109375" style="1039" customWidth="1"/>
    <col min="3597" max="3597" width="4.77734375" style="1039" customWidth="1"/>
    <col min="3598" max="3598" width="22.77734375" style="1039" customWidth="1"/>
    <col min="3599" max="3599" width="12.109375" style="1039" customWidth="1"/>
    <col min="3600" max="3600" width="12" style="1039" customWidth="1"/>
    <col min="3601" max="3601" width="4.44140625" style="1039" customWidth="1"/>
    <col min="3602" max="3602" width="10.109375" style="1039" customWidth="1"/>
    <col min="3603" max="3603" width="7.21875" style="1039" customWidth="1"/>
    <col min="3604" max="3604" width="13" style="1039" customWidth="1"/>
    <col min="3605" max="3605" width="4" style="1039" customWidth="1"/>
    <col min="3606" max="3606" width="28.88671875" style="1039" bestFit="1" customWidth="1"/>
    <col min="3607" max="3607" width="10.33203125" style="1039" customWidth="1"/>
    <col min="3608" max="3608" width="4.33203125" style="1039" customWidth="1"/>
    <col min="3609" max="3609" width="20.6640625" style="1039" customWidth="1"/>
    <col min="3610" max="3611" width="11.109375" style="1039" customWidth="1"/>
    <col min="3612" max="3612" width="17.6640625" style="1039" customWidth="1"/>
    <col min="3613" max="3613" width="12.6640625" style="1039" customWidth="1"/>
    <col min="3614" max="3616" width="15.109375" style="1039" customWidth="1"/>
    <col min="3617" max="3619" width="8.88671875" style="1039" customWidth="1"/>
    <col min="3620" max="3620" width="33" style="1039" customWidth="1"/>
    <col min="3621" max="3622" width="12.44140625" style="1039" customWidth="1"/>
    <col min="3623" max="3626" width="9.33203125" style="1039" customWidth="1"/>
    <col min="3627" max="3627" width="19.5546875" style="1039" customWidth="1"/>
    <col min="3628" max="3630" width="8.88671875" style="1039" customWidth="1"/>
    <col min="3631" max="3631" width="15.44140625" style="1039" customWidth="1"/>
    <col min="3632" max="3662" width="8.88671875" style="1039" customWidth="1"/>
    <col min="3663" max="3840" width="8.88671875" style="1039"/>
    <col min="3841" max="3841" width="8.88671875" style="1039" customWidth="1"/>
    <col min="3842" max="3842" width="2.88671875" style="1039" customWidth="1"/>
    <col min="3843" max="3843" width="5.21875" style="1039" customWidth="1"/>
    <col min="3844" max="3844" width="20.109375" style="1039" customWidth="1"/>
    <col min="3845" max="3845" width="10.6640625" style="1039" customWidth="1"/>
    <col min="3846" max="3846" width="18" style="1039" customWidth="1"/>
    <col min="3847" max="3847" width="4.33203125" style="1039" customWidth="1"/>
    <col min="3848" max="3848" width="16.5546875" style="1039" customWidth="1"/>
    <col min="3849" max="3849" width="8.77734375" style="1039" customWidth="1"/>
    <col min="3850" max="3850" width="4.77734375" style="1039" customWidth="1"/>
    <col min="3851" max="3851" width="6.21875" style="1039" customWidth="1"/>
    <col min="3852" max="3852" width="7.109375" style="1039" customWidth="1"/>
    <col min="3853" max="3853" width="4.77734375" style="1039" customWidth="1"/>
    <col min="3854" max="3854" width="22.77734375" style="1039" customWidth="1"/>
    <col min="3855" max="3855" width="12.109375" style="1039" customWidth="1"/>
    <col min="3856" max="3856" width="12" style="1039" customWidth="1"/>
    <col min="3857" max="3857" width="4.44140625" style="1039" customWidth="1"/>
    <col min="3858" max="3858" width="10.109375" style="1039" customWidth="1"/>
    <col min="3859" max="3859" width="7.21875" style="1039" customWidth="1"/>
    <col min="3860" max="3860" width="13" style="1039" customWidth="1"/>
    <col min="3861" max="3861" width="4" style="1039" customWidth="1"/>
    <col min="3862" max="3862" width="28.88671875" style="1039" bestFit="1" customWidth="1"/>
    <col min="3863" max="3863" width="10.33203125" style="1039" customWidth="1"/>
    <col min="3864" max="3864" width="4.33203125" style="1039" customWidth="1"/>
    <col min="3865" max="3865" width="20.6640625" style="1039" customWidth="1"/>
    <col min="3866" max="3867" width="11.109375" style="1039" customWidth="1"/>
    <col min="3868" max="3868" width="17.6640625" style="1039" customWidth="1"/>
    <col min="3869" max="3869" width="12.6640625" style="1039" customWidth="1"/>
    <col min="3870" max="3872" width="15.109375" style="1039" customWidth="1"/>
    <col min="3873" max="3875" width="8.88671875" style="1039" customWidth="1"/>
    <col min="3876" max="3876" width="33" style="1039" customWidth="1"/>
    <col min="3877" max="3878" width="12.44140625" style="1039" customWidth="1"/>
    <col min="3879" max="3882" width="9.33203125" style="1039" customWidth="1"/>
    <col min="3883" max="3883" width="19.5546875" style="1039" customWidth="1"/>
    <col min="3884" max="3886" width="8.88671875" style="1039" customWidth="1"/>
    <col min="3887" max="3887" width="15.44140625" style="1039" customWidth="1"/>
    <col min="3888" max="3918" width="8.88671875" style="1039" customWidth="1"/>
    <col min="3919" max="4096" width="8.88671875" style="1039"/>
    <col min="4097" max="4097" width="8.88671875" style="1039" customWidth="1"/>
    <col min="4098" max="4098" width="2.88671875" style="1039" customWidth="1"/>
    <col min="4099" max="4099" width="5.21875" style="1039" customWidth="1"/>
    <col min="4100" max="4100" width="20.109375" style="1039" customWidth="1"/>
    <col min="4101" max="4101" width="10.6640625" style="1039" customWidth="1"/>
    <col min="4102" max="4102" width="18" style="1039" customWidth="1"/>
    <col min="4103" max="4103" width="4.33203125" style="1039" customWidth="1"/>
    <col min="4104" max="4104" width="16.5546875" style="1039" customWidth="1"/>
    <col min="4105" max="4105" width="8.77734375" style="1039" customWidth="1"/>
    <col min="4106" max="4106" width="4.77734375" style="1039" customWidth="1"/>
    <col min="4107" max="4107" width="6.21875" style="1039" customWidth="1"/>
    <col min="4108" max="4108" width="7.109375" style="1039" customWidth="1"/>
    <col min="4109" max="4109" width="4.77734375" style="1039" customWidth="1"/>
    <col min="4110" max="4110" width="22.77734375" style="1039" customWidth="1"/>
    <col min="4111" max="4111" width="12.109375" style="1039" customWidth="1"/>
    <col min="4112" max="4112" width="12" style="1039" customWidth="1"/>
    <col min="4113" max="4113" width="4.44140625" style="1039" customWidth="1"/>
    <col min="4114" max="4114" width="10.109375" style="1039" customWidth="1"/>
    <col min="4115" max="4115" width="7.21875" style="1039" customWidth="1"/>
    <col min="4116" max="4116" width="13" style="1039" customWidth="1"/>
    <col min="4117" max="4117" width="4" style="1039" customWidth="1"/>
    <col min="4118" max="4118" width="28.88671875" style="1039" bestFit="1" customWidth="1"/>
    <col min="4119" max="4119" width="10.33203125" style="1039" customWidth="1"/>
    <col min="4120" max="4120" width="4.33203125" style="1039" customWidth="1"/>
    <col min="4121" max="4121" width="20.6640625" style="1039" customWidth="1"/>
    <col min="4122" max="4123" width="11.109375" style="1039" customWidth="1"/>
    <col min="4124" max="4124" width="17.6640625" style="1039" customWidth="1"/>
    <col min="4125" max="4125" width="12.6640625" style="1039" customWidth="1"/>
    <col min="4126" max="4128" width="15.109375" style="1039" customWidth="1"/>
    <col min="4129" max="4131" width="8.88671875" style="1039" customWidth="1"/>
    <col min="4132" max="4132" width="33" style="1039" customWidth="1"/>
    <col min="4133" max="4134" width="12.44140625" style="1039" customWidth="1"/>
    <col min="4135" max="4138" width="9.33203125" style="1039" customWidth="1"/>
    <col min="4139" max="4139" width="19.5546875" style="1039" customWidth="1"/>
    <col min="4140" max="4142" width="8.88671875" style="1039" customWidth="1"/>
    <col min="4143" max="4143" width="15.44140625" style="1039" customWidth="1"/>
    <col min="4144" max="4174" width="8.88671875" style="1039" customWidth="1"/>
    <col min="4175" max="4352" width="8.88671875" style="1039"/>
    <col min="4353" max="4353" width="8.88671875" style="1039" customWidth="1"/>
    <col min="4354" max="4354" width="2.88671875" style="1039" customWidth="1"/>
    <col min="4355" max="4355" width="5.21875" style="1039" customWidth="1"/>
    <col min="4356" max="4356" width="20.109375" style="1039" customWidth="1"/>
    <col min="4357" max="4357" width="10.6640625" style="1039" customWidth="1"/>
    <col min="4358" max="4358" width="18" style="1039" customWidth="1"/>
    <col min="4359" max="4359" width="4.33203125" style="1039" customWidth="1"/>
    <col min="4360" max="4360" width="16.5546875" style="1039" customWidth="1"/>
    <col min="4361" max="4361" width="8.77734375" style="1039" customWidth="1"/>
    <col min="4362" max="4362" width="4.77734375" style="1039" customWidth="1"/>
    <col min="4363" max="4363" width="6.21875" style="1039" customWidth="1"/>
    <col min="4364" max="4364" width="7.109375" style="1039" customWidth="1"/>
    <col min="4365" max="4365" width="4.77734375" style="1039" customWidth="1"/>
    <col min="4366" max="4366" width="22.77734375" style="1039" customWidth="1"/>
    <col min="4367" max="4367" width="12.109375" style="1039" customWidth="1"/>
    <col min="4368" max="4368" width="12" style="1039" customWidth="1"/>
    <col min="4369" max="4369" width="4.44140625" style="1039" customWidth="1"/>
    <col min="4370" max="4370" width="10.109375" style="1039" customWidth="1"/>
    <col min="4371" max="4371" width="7.21875" style="1039" customWidth="1"/>
    <col min="4372" max="4372" width="13" style="1039" customWidth="1"/>
    <col min="4373" max="4373" width="4" style="1039" customWidth="1"/>
    <col min="4374" max="4374" width="28.88671875" style="1039" bestFit="1" customWidth="1"/>
    <col min="4375" max="4375" width="10.33203125" style="1039" customWidth="1"/>
    <col min="4376" max="4376" width="4.33203125" style="1039" customWidth="1"/>
    <col min="4377" max="4377" width="20.6640625" style="1039" customWidth="1"/>
    <col min="4378" max="4379" width="11.109375" style="1039" customWidth="1"/>
    <col min="4380" max="4380" width="17.6640625" style="1039" customWidth="1"/>
    <col min="4381" max="4381" width="12.6640625" style="1039" customWidth="1"/>
    <col min="4382" max="4384" width="15.109375" style="1039" customWidth="1"/>
    <col min="4385" max="4387" width="8.88671875" style="1039" customWidth="1"/>
    <col min="4388" max="4388" width="33" style="1039" customWidth="1"/>
    <col min="4389" max="4390" width="12.44140625" style="1039" customWidth="1"/>
    <col min="4391" max="4394" width="9.33203125" style="1039" customWidth="1"/>
    <col min="4395" max="4395" width="19.5546875" style="1039" customWidth="1"/>
    <col min="4396" max="4398" width="8.88671875" style="1039" customWidth="1"/>
    <col min="4399" max="4399" width="15.44140625" style="1039" customWidth="1"/>
    <col min="4400" max="4430" width="8.88671875" style="1039" customWidth="1"/>
    <col min="4431" max="4608" width="8.88671875" style="1039"/>
    <col min="4609" max="4609" width="8.88671875" style="1039" customWidth="1"/>
    <col min="4610" max="4610" width="2.88671875" style="1039" customWidth="1"/>
    <col min="4611" max="4611" width="5.21875" style="1039" customWidth="1"/>
    <col min="4612" max="4612" width="20.109375" style="1039" customWidth="1"/>
    <col min="4613" max="4613" width="10.6640625" style="1039" customWidth="1"/>
    <col min="4614" max="4614" width="18" style="1039" customWidth="1"/>
    <col min="4615" max="4615" width="4.33203125" style="1039" customWidth="1"/>
    <col min="4616" max="4616" width="16.5546875" style="1039" customWidth="1"/>
    <col min="4617" max="4617" width="8.77734375" style="1039" customWidth="1"/>
    <col min="4618" max="4618" width="4.77734375" style="1039" customWidth="1"/>
    <col min="4619" max="4619" width="6.21875" style="1039" customWidth="1"/>
    <col min="4620" max="4620" width="7.109375" style="1039" customWidth="1"/>
    <col min="4621" max="4621" width="4.77734375" style="1039" customWidth="1"/>
    <col min="4622" max="4622" width="22.77734375" style="1039" customWidth="1"/>
    <col min="4623" max="4623" width="12.109375" style="1039" customWidth="1"/>
    <col min="4624" max="4624" width="12" style="1039" customWidth="1"/>
    <col min="4625" max="4625" width="4.44140625" style="1039" customWidth="1"/>
    <col min="4626" max="4626" width="10.109375" style="1039" customWidth="1"/>
    <col min="4627" max="4627" width="7.21875" style="1039" customWidth="1"/>
    <col min="4628" max="4628" width="13" style="1039" customWidth="1"/>
    <col min="4629" max="4629" width="4" style="1039" customWidth="1"/>
    <col min="4630" max="4630" width="28.88671875" style="1039" bestFit="1" customWidth="1"/>
    <col min="4631" max="4631" width="10.33203125" style="1039" customWidth="1"/>
    <col min="4632" max="4632" width="4.33203125" style="1039" customWidth="1"/>
    <col min="4633" max="4633" width="20.6640625" style="1039" customWidth="1"/>
    <col min="4634" max="4635" width="11.109375" style="1039" customWidth="1"/>
    <col min="4636" max="4636" width="17.6640625" style="1039" customWidth="1"/>
    <col min="4637" max="4637" width="12.6640625" style="1039" customWidth="1"/>
    <col min="4638" max="4640" width="15.109375" style="1039" customWidth="1"/>
    <col min="4641" max="4643" width="8.88671875" style="1039" customWidth="1"/>
    <col min="4644" max="4644" width="33" style="1039" customWidth="1"/>
    <col min="4645" max="4646" width="12.44140625" style="1039" customWidth="1"/>
    <col min="4647" max="4650" width="9.33203125" style="1039" customWidth="1"/>
    <col min="4651" max="4651" width="19.5546875" style="1039" customWidth="1"/>
    <col min="4652" max="4654" width="8.88671875" style="1039" customWidth="1"/>
    <col min="4655" max="4655" width="15.44140625" style="1039" customWidth="1"/>
    <col min="4656" max="4686" width="8.88671875" style="1039" customWidth="1"/>
    <col min="4687" max="4864" width="8.88671875" style="1039"/>
    <col min="4865" max="4865" width="8.88671875" style="1039" customWidth="1"/>
    <col min="4866" max="4866" width="2.88671875" style="1039" customWidth="1"/>
    <col min="4867" max="4867" width="5.21875" style="1039" customWidth="1"/>
    <col min="4868" max="4868" width="20.109375" style="1039" customWidth="1"/>
    <col min="4869" max="4869" width="10.6640625" style="1039" customWidth="1"/>
    <col min="4870" max="4870" width="18" style="1039" customWidth="1"/>
    <col min="4871" max="4871" width="4.33203125" style="1039" customWidth="1"/>
    <col min="4872" max="4872" width="16.5546875" style="1039" customWidth="1"/>
    <col min="4873" max="4873" width="8.77734375" style="1039" customWidth="1"/>
    <col min="4874" max="4874" width="4.77734375" style="1039" customWidth="1"/>
    <col min="4875" max="4875" width="6.21875" style="1039" customWidth="1"/>
    <col min="4876" max="4876" width="7.109375" style="1039" customWidth="1"/>
    <col min="4877" max="4877" width="4.77734375" style="1039" customWidth="1"/>
    <col min="4878" max="4878" width="22.77734375" style="1039" customWidth="1"/>
    <col min="4879" max="4879" width="12.109375" style="1039" customWidth="1"/>
    <col min="4880" max="4880" width="12" style="1039" customWidth="1"/>
    <col min="4881" max="4881" width="4.44140625" style="1039" customWidth="1"/>
    <col min="4882" max="4882" width="10.109375" style="1039" customWidth="1"/>
    <col min="4883" max="4883" width="7.21875" style="1039" customWidth="1"/>
    <col min="4884" max="4884" width="13" style="1039" customWidth="1"/>
    <col min="4885" max="4885" width="4" style="1039" customWidth="1"/>
    <col min="4886" max="4886" width="28.88671875" style="1039" bestFit="1" customWidth="1"/>
    <col min="4887" max="4887" width="10.33203125" style="1039" customWidth="1"/>
    <col min="4888" max="4888" width="4.33203125" style="1039" customWidth="1"/>
    <col min="4889" max="4889" width="20.6640625" style="1039" customWidth="1"/>
    <col min="4890" max="4891" width="11.109375" style="1039" customWidth="1"/>
    <col min="4892" max="4892" width="17.6640625" style="1039" customWidth="1"/>
    <col min="4893" max="4893" width="12.6640625" style="1039" customWidth="1"/>
    <col min="4894" max="4896" width="15.109375" style="1039" customWidth="1"/>
    <col min="4897" max="4899" width="8.88671875" style="1039" customWidth="1"/>
    <col min="4900" max="4900" width="33" style="1039" customWidth="1"/>
    <col min="4901" max="4902" width="12.44140625" style="1039" customWidth="1"/>
    <col min="4903" max="4906" width="9.33203125" style="1039" customWidth="1"/>
    <col min="4907" max="4907" width="19.5546875" style="1039" customWidth="1"/>
    <col min="4908" max="4910" width="8.88671875" style="1039" customWidth="1"/>
    <col min="4911" max="4911" width="15.44140625" style="1039" customWidth="1"/>
    <col min="4912" max="4942" width="8.88671875" style="1039" customWidth="1"/>
    <col min="4943" max="5120" width="8.88671875" style="1039"/>
    <col min="5121" max="5121" width="8.88671875" style="1039" customWidth="1"/>
    <col min="5122" max="5122" width="2.88671875" style="1039" customWidth="1"/>
    <col min="5123" max="5123" width="5.21875" style="1039" customWidth="1"/>
    <col min="5124" max="5124" width="20.109375" style="1039" customWidth="1"/>
    <col min="5125" max="5125" width="10.6640625" style="1039" customWidth="1"/>
    <col min="5126" max="5126" width="18" style="1039" customWidth="1"/>
    <col min="5127" max="5127" width="4.33203125" style="1039" customWidth="1"/>
    <col min="5128" max="5128" width="16.5546875" style="1039" customWidth="1"/>
    <col min="5129" max="5129" width="8.77734375" style="1039" customWidth="1"/>
    <col min="5130" max="5130" width="4.77734375" style="1039" customWidth="1"/>
    <col min="5131" max="5131" width="6.21875" style="1039" customWidth="1"/>
    <col min="5132" max="5132" width="7.109375" style="1039" customWidth="1"/>
    <col min="5133" max="5133" width="4.77734375" style="1039" customWidth="1"/>
    <col min="5134" max="5134" width="22.77734375" style="1039" customWidth="1"/>
    <col min="5135" max="5135" width="12.109375" style="1039" customWidth="1"/>
    <col min="5136" max="5136" width="12" style="1039" customWidth="1"/>
    <col min="5137" max="5137" width="4.44140625" style="1039" customWidth="1"/>
    <col min="5138" max="5138" width="10.109375" style="1039" customWidth="1"/>
    <col min="5139" max="5139" width="7.21875" style="1039" customWidth="1"/>
    <col min="5140" max="5140" width="13" style="1039" customWidth="1"/>
    <col min="5141" max="5141" width="4" style="1039" customWidth="1"/>
    <col min="5142" max="5142" width="28.88671875" style="1039" bestFit="1" customWidth="1"/>
    <col min="5143" max="5143" width="10.33203125" style="1039" customWidth="1"/>
    <col min="5144" max="5144" width="4.33203125" style="1039" customWidth="1"/>
    <col min="5145" max="5145" width="20.6640625" style="1039" customWidth="1"/>
    <col min="5146" max="5147" width="11.109375" style="1039" customWidth="1"/>
    <col min="5148" max="5148" width="17.6640625" style="1039" customWidth="1"/>
    <col min="5149" max="5149" width="12.6640625" style="1039" customWidth="1"/>
    <col min="5150" max="5152" width="15.109375" style="1039" customWidth="1"/>
    <col min="5153" max="5155" width="8.88671875" style="1039" customWidth="1"/>
    <col min="5156" max="5156" width="33" style="1039" customWidth="1"/>
    <col min="5157" max="5158" width="12.44140625" style="1039" customWidth="1"/>
    <col min="5159" max="5162" width="9.33203125" style="1039" customWidth="1"/>
    <col min="5163" max="5163" width="19.5546875" style="1039" customWidth="1"/>
    <col min="5164" max="5166" width="8.88671875" style="1039" customWidth="1"/>
    <col min="5167" max="5167" width="15.44140625" style="1039" customWidth="1"/>
    <col min="5168" max="5198" width="8.88671875" style="1039" customWidth="1"/>
    <col min="5199" max="5376" width="8.88671875" style="1039"/>
    <col min="5377" max="5377" width="8.88671875" style="1039" customWidth="1"/>
    <col min="5378" max="5378" width="2.88671875" style="1039" customWidth="1"/>
    <col min="5379" max="5379" width="5.21875" style="1039" customWidth="1"/>
    <col min="5380" max="5380" width="20.109375" style="1039" customWidth="1"/>
    <col min="5381" max="5381" width="10.6640625" style="1039" customWidth="1"/>
    <col min="5382" max="5382" width="18" style="1039" customWidth="1"/>
    <col min="5383" max="5383" width="4.33203125" style="1039" customWidth="1"/>
    <col min="5384" max="5384" width="16.5546875" style="1039" customWidth="1"/>
    <col min="5385" max="5385" width="8.77734375" style="1039" customWidth="1"/>
    <col min="5386" max="5386" width="4.77734375" style="1039" customWidth="1"/>
    <col min="5387" max="5387" width="6.21875" style="1039" customWidth="1"/>
    <col min="5388" max="5388" width="7.109375" style="1039" customWidth="1"/>
    <col min="5389" max="5389" width="4.77734375" style="1039" customWidth="1"/>
    <col min="5390" max="5390" width="22.77734375" style="1039" customWidth="1"/>
    <col min="5391" max="5391" width="12.109375" style="1039" customWidth="1"/>
    <col min="5392" max="5392" width="12" style="1039" customWidth="1"/>
    <col min="5393" max="5393" width="4.44140625" style="1039" customWidth="1"/>
    <col min="5394" max="5394" width="10.109375" style="1039" customWidth="1"/>
    <col min="5395" max="5395" width="7.21875" style="1039" customWidth="1"/>
    <col min="5396" max="5396" width="13" style="1039" customWidth="1"/>
    <col min="5397" max="5397" width="4" style="1039" customWidth="1"/>
    <col min="5398" max="5398" width="28.88671875" style="1039" bestFit="1" customWidth="1"/>
    <col min="5399" max="5399" width="10.33203125" style="1039" customWidth="1"/>
    <col min="5400" max="5400" width="4.33203125" style="1039" customWidth="1"/>
    <col min="5401" max="5401" width="20.6640625" style="1039" customWidth="1"/>
    <col min="5402" max="5403" width="11.109375" style="1039" customWidth="1"/>
    <col min="5404" max="5404" width="17.6640625" style="1039" customWidth="1"/>
    <col min="5405" max="5405" width="12.6640625" style="1039" customWidth="1"/>
    <col min="5406" max="5408" width="15.109375" style="1039" customWidth="1"/>
    <col min="5409" max="5411" width="8.88671875" style="1039" customWidth="1"/>
    <col min="5412" max="5412" width="33" style="1039" customWidth="1"/>
    <col min="5413" max="5414" width="12.44140625" style="1039" customWidth="1"/>
    <col min="5415" max="5418" width="9.33203125" style="1039" customWidth="1"/>
    <col min="5419" max="5419" width="19.5546875" style="1039" customWidth="1"/>
    <col min="5420" max="5422" width="8.88671875" style="1039" customWidth="1"/>
    <col min="5423" max="5423" width="15.44140625" style="1039" customWidth="1"/>
    <col min="5424" max="5454" width="8.88671875" style="1039" customWidth="1"/>
    <col min="5455" max="5632" width="8.88671875" style="1039"/>
    <col min="5633" max="5633" width="8.88671875" style="1039" customWidth="1"/>
    <col min="5634" max="5634" width="2.88671875" style="1039" customWidth="1"/>
    <col min="5635" max="5635" width="5.21875" style="1039" customWidth="1"/>
    <col min="5636" max="5636" width="20.109375" style="1039" customWidth="1"/>
    <col min="5637" max="5637" width="10.6640625" style="1039" customWidth="1"/>
    <col min="5638" max="5638" width="18" style="1039" customWidth="1"/>
    <col min="5639" max="5639" width="4.33203125" style="1039" customWidth="1"/>
    <col min="5640" max="5640" width="16.5546875" style="1039" customWidth="1"/>
    <col min="5641" max="5641" width="8.77734375" style="1039" customWidth="1"/>
    <col min="5642" max="5642" width="4.77734375" style="1039" customWidth="1"/>
    <col min="5643" max="5643" width="6.21875" style="1039" customWidth="1"/>
    <col min="5644" max="5644" width="7.109375" style="1039" customWidth="1"/>
    <col min="5645" max="5645" width="4.77734375" style="1039" customWidth="1"/>
    <col min="5646" max="5646" width="22.77734375" style="1039" customWidth="1"/>
    <col min="5647" max="5647" width="12.109375" style="1039" customWidth="1"/>
    <col min="5648" max="5648" width="12" style="1039" customWidth="1"/>
    <col min="5649" max="5649" width="4.44140625" style="1039" customWidth="1"/>
    <col min="5650" max="5650" width="10.109375" style="1039" customWidth="1"/>
    <col min="5651" max="5651" width="7.21875" style="1039" customWidth="1"/>
    <col min="5652" max="5652" width="13" style="1039" customWidth="1"/>
    <col min="5653" max="5653" width="4" style="1039" customWidth="1"/>
    <col min="5654" max="5654" width="28.88671875" style="1039" bestFit="1" customWidth="1"/>
    <col min="5655" max="5655" width="10.33203125" style="1039" customWidth="1"/>
    <col min="5656" max="5656" width="4.33203125" style="1039" customWidth="1"/>
    <col min="5657" max="5657" width="20.6640625" style="1039" customWidth="1"/>
    <col min="5658" max="5659" width="11.109375" style="1039" customWidth="1"/>
    <col min="5660" max="5660" width="17.6640625" style="1039" customWidth="1"/>
    <col min="5661" max="5661" width="12.6640625" style="1039" customWidth="1"/>
    <col min="5662" max="5664" width="15.109375" style="1039" customWidth="1"/>
    <col min="5665" max="5667" width="8.88671875" style="1039" customWidth="1"/>
    <col min="5668" max="5668" width="33" style="1039" customWidth="1"/>
    <col min="5669" max="5670" width="12.44140625" style="1039" customWidth="1"/>
    <col min="5671" max="5674" width="9.33203125" style="1039" customWidth="1"/>
    <col min="5675" max="5675" width="19.5546875" style="1039" customWidth="1"/>
    <col min="5676" max="5678" width="8.88671875" style="1039" customWidth="1"/>
    <col min="5679" max="5679" width="15.44140625" style="1039" customWidth="1"/>
    <col min="5680" max="5710" width="8.88671875" style="1039" customWidth="1"/>
    <col min="5711" max="5888" width="8.88671875" style="1039"/>
    <col min="5889" max="5889" width="8.88671875" style="1039" customWidth="1"/>
    <col min="5890" max="5890" width="2.88671875" style="1039" customWidth="1"/>
    <col min="5891" max="5891" width="5.21875" style="1039" customWidth="1"/>
    <col min="5892" max="5892" width="20.109375" style="1039" customWidth="1"/>
    <col min="5893" max="5893" width="10.6640625" style="1039" customWidth="1"/>
    <col min="5894" max="5894" width="18" style="1039" customWidth="1"/>
    <col min="5895" max="5895" width="4.33203125" style="1039" customWidth="1"/>
    <col min="5896" max="5896" width="16.5546875" style="1039" customWidth="1"/>
    <col min="5897" max="5897" width="8.77734375" style="1039" customWidth="1"/>
    <col min="5898" max="5898" width="4.77734375" style="1039" customWidth="1"/>
    <col min="5899" max="5899" width="6.21875" style="1039" customWidth="1"/>
    <col min="5900" max="5900" width="7.109375" style="1039" customWidth="1"/>
    <col min="5901" max="5901" width="4.77734375" style="1039" customWidth="1"/>
    <col min="5902" max="5902" width="22.77734375" style="1039" customWidth="1"/>
    <col min="5903" max="5903" width="12.109375" style="1039" customWidth="1"/>
    <col min="5904" max="5904" width="12" style="1039" customWidth="1"/>
    <col min="5905" max="5905" width="4.44140625" style="1039" customWidth="1"/>
    <col min="5906" max="5906" width="10.109375" style="1039" customWidth="1"/>
    <col min="5907" max="5907" width="7.21875" style="1039" customWidth="1"/>
    <col min="5908" max="5908" width="13" style="1039" customWidth="1"/>
    <col min="5909" max="5909" width="4" style="1039" customWidth="1"/>
    <col min="5910" max="5910" width="28.88671875" style="1039" bestFit="1" customWidth="1"/>
    <col min="5911" max="5911" width="10.33203125" style="1039" customWidth="1"/>
    <col min="5912" max="5912" width="4.33203125" style="1039" customWidth="1"/>
    <col min="5913" max="5913" width="20.6640625" style="1039" customWidth="1"/>
    <col min="5914" max="5915" width="11.109375" style="1039" customWidth="1"/>
    <col min="5916" max="5916" width="17.6640625" style="1039" customWidth="1"/>
    <col min="5917" max="5917" width="12.6640625" style="1039" customWidth="1"/>
    <col min="5918" max="5920" width="15.109375" style="1039" customWidth="1"/>
    <col min="5921" max="5923" width="8.88671875" style="1039" customWidth="1"/>
    <col min="5924" max="5924" width="33" style="1039" customWidth="1"/>
    <col min="5925" max="5926" width="12.44140625" style="1039" customWidth="1"/>
    <col min="5927" max="5930" width="9.33203125" style="1039" customWidth="1"/>
    <col min="5931" max="5931" width="19.5546875" style="1039" customWidth="1"/>
    <col min="5932" max="5934" width="8.88671875" style="1039" customWidth="1"/>
    <col min="5935" max="5935" width="15.44140625" style="1039" customWidth="1"/>
    <col min="5936" max="5966" width="8.88671875" style="1039" customWidth="1"/>
    <col min="5967" max="6144" width="8.88671875" style="1039"/>
    <col min="6145" max="6145" width="8.88671875" style="1039" customWidth="1"/>
    <col min="6146" max="6146" width="2.88671875" style="1039" customWidth="1"/>
    <col min="6147" max="6147" width="5.21875" style="1039" customWidth="1"/>
    <col min="6148" max="6148" width="20.109375" style="1039" customWidth="1"/>
    <col min="6149" max="6149" width="10.6640625" style="1039" customWidth="1"/>
    <col min="6150" max="6150" width="18" style="1039" customWidth="1"/>
    <col min="6151" max="6151" width="4.33203125" style="1039" customWidth="1"/>
    <col min="6152" max="6152" width="16.5546875" style="1039" customWidth="1"/>
    <col min="6153" max="6153" width="8.77734375" style="1039" customWidth="1"/>
    <col min="6154" max="6154" width="4.77734375" style="1039" customWidth="1"/>
    <col min="6155" max="6155" width="6.21875" style="1039" customWidth="1"/>
    <col min="6156" max="6156" width="7.109375" style="1039" customWidth="1"/>
    <col min="6157" max="6157" width="4.77734375" style="1039" customWidth="1"/>
    <col min="6158" max="6158" width="22.77734375" style="1039" customWidth="1"/>
    <col min="6159" max="6159" width="12.109375" style="1039" customWidth="1"/>
    <col min="6160" max="6160" width="12" style="1039" customWidth="1"/>
    <col min="6161" max="6161" width="4.44140625" style="1039" customWidth="1"/>
    <col min="6162" max="6162" width="10.109375" style="1039" customWidth="1"/>
    <col min="6163" max="6163" width="7.21875" style="1039" customWidth="1"/>
    <col min="6164" max="6164" width="13" style="1039" customWidth="1"/>
    <col min="6165" max="6165" width="4" style="1039" customWidth="1"/>
    <col min="6166" max="6166" width="28.88671875" style="1039" bestFit="1" customWidth="1"/>
    <col min="6167" max="6167" width="10.33203125" style="1039" customWidth="1"/>
    <col min="6168" max="6168" width="4.33203125" style="1039" customWidth="1"/>
    <col min="6169" max="6169" width="20.6640625" style="1039" customWidth="1"/>
    <col min="6170" max="6171" width="11.109375" style="1039" customWidth="1"/>
    <col min="6172" max="6172" width="17.6640625" style="1039" customWidth="1"/>
    <col min="6173" max="6173" width="12.6640625" style="1039" customWidth="1"/>
    <col min="6174" max="6176" width="15.109375" style="1039" customWidth="1"/>
    <col min="6177" max="6179" width="8.88671875" style="1039" customWidth="1"/>
    <col min="6180" max="6180" width="33" style="1039" customWidth="1"/>
    <col min="6181" max="6182" width="12.44140625" style="1039" customWidth="1"/>
    <col min="6183" max="6186" width="9.33203125" style="1039" customWidth="1"/>
    <col min="6187" max="6187" width="19.5546875" style="1039" customWidth="1"/>
    <col min="6188" max="6190" width="8.88671875" style="1039" customWidth="1"/>
    <col min="6191" max="6191" width="15.44140625" style="1039" customWidth="1"/>
    <col min="6192" max="6222" width="8.88671875" style="1039" customWidth="1"/>
    <col min="6223" max="6400" width="8.88671875" style="1039"/>
    <col min="6401" max="6401" width="8.88671875" style="1039" customWidth="1"/>
    <col min="6402" max="6402" width="2.88671875" style="1039" customWidth="1"/>
    <col min="6403" max="6403" width="5.21875" style="1039" customWidth="1"/>
    <col min="6404" max="6404" width="20.109375" style="1039" customWidth="1"/>
    <col min="6405" max="6405" width="10.6640625" style="1039" customWidth="1"/>
    <col min="6406" max="6406" width="18" style="1039" customWidth="1"/>
    <col min="6407" max="6407" width="4.33203125" style="1039" customWidth="1"/>
    <col min="6408" max="6408" width="16.5546875" style="1039" customWidth="1"/>
    <col min="6409" max="6409" width="8.77734375" style="1039" customWidth="1"/>
    <col min="6410" max="6410" width="4.77734375" style="1039" customWidth="1"/>
    <col min="6411" max="6411" width="6.21875" style="1039" customWidth="1"/>
    <col min="6412" max="6412" width="7.109375" style="1039" customWidth="1"/>
    <col min="6413" max="6413" width="4.77734375" style="1039" customWidth="1"/>
    <col min="6414" max="6414" width="22.77734375" style="1039" customWidth="1"/>
    <col min="6415" max="6415" width="12.109375" style="1039" customWidth="1"/>
    <col min="6416" max="6416" width="12" style="1039" customWidth="1"/>
    <col min="6417" max="6417" width="4.44140625" style="1039" customWidth="1"/>
    <col min="6418" max="6418" width="10.109375" style="1039" customWidth="1"/>
    <col min="6419" max="6419" width="7.21875" style="1039" customWidth="1"/>
    <col min="6420" max="6420" width="13" style="1039" customWidth="1"/>
    <col min="6421" max="6421" width="4" style="1039" customWidth="1"/>
    <col min="6422" max="6422" width="28.88671875" style="1039" bestFit="1" customWidth="1"/>
    <col min="6423" max="6423" width="10.33203125" style="1039" customWidth="1"/>
    <col min="6424" max="6424" width="4.33203125" style="1039" customWidth="1"/>
    <col min="6425" max="6425" width="20.6640625" style="1039" customWidth="1"/>
    <col min="6426" max="6427" width="11.109375" style="1039" customWidth="1"/>
    <col min="6428" max="6428" width="17.6640625" style="1039" customWidth="1"/>
    <col min="6429" max="6429" width="12.6640625" style="1039" customWidth="1"/>
    <col min="6430" max="6432" width="15.109375" style="1039" customWidth="1"/>
    <col min="6433" max="6435" width="8.88671875" style="1039" customWidth="1"/>
    <col min="6436" max="6436" width="33" style="1039" customWidth="1"/>
    <col min="6437" max="6438" width="12.44140625" style="1039" customWidth="1"/>
    <col min="6439" max="6442" width="9.33203125" style="1039" customWidth="1"/>
    <col min="6443" max="6443" width="19.5546875" style="1039" customWidth="1"/>
    <col min="6444" max="6446" width="8.88671875" style="1039" customWidth="1"/>
    <col min="6447" max="6447" width="15.44140625" style="1039" customWidth="1"/>
    <col min="6448" max="6478" width="8.88671875" style="1039" customWidth="1"/>
    <col min="6479" max="6656" width="8.88671875" style="1039"/>
    <col min="6657" max="6657" width="8.88671875" style="1039" customWidth="1"/>
    <col min="6658" max="6658" width="2.88671875" style="1039" customWidth="1"/>
    <col min="6659" max="6659" width="5.21875" style="1039" customWidth="1"/>
    <col min="6660" max="6660" width="20.109375" style="1039" customWidth="1"/>
    <col min="6661" max="6661" width="10.6640625" style="1039" customWidth="1"/>
    <col min="6662" max="6662" width="18" style="1039" customWidth="1"/>
    <col min="6663" max="6663" width="4.33203125" style="1039" customWidth="1"/>
    <col min="6664" max="6664" width="16.5546875" style="1039" customWidth="1"/>
    <col min="6665" max="6665" width="8.77734375" style="1039" customWidth="1"/>
    <col min="6666" max="6666" width="4.77734375" style="1039" customWidth="1"/>
    <col min="6667" max="6667" width="6.21875" style="1039" customWidth="1"/>
    <col min="6668" max="6668" width="7.109375" style="1039" customWidth="1"/>
    <col min="6669" max="6669" width="4.77734375" style="1039" customWidth="1"/>
    <col min="6670" max="6670" width="22.77734375" style="1039" customWidth="1"/>
    <col min="6671" max="6671" width="12.109375" style="1039" customWidth="1"/>
    <col min="6672" max="6672" width="12" style="1039" customWidth="1"/>
    <col min="6673" max="6673" width="4.44140625" style="1039" customWidth="1"/>
    <col min="6674" max="6674" width="10.109375" style="1039" customWidth="1"/>
    <col min="6675" max="6675" width="7.21875" style="1039" customWidth="1"/>
    <col min="6676" max="6676" width="13" style="1039" customWidth="1"/>
    <col min="6677" max="6677" width="4" style="1039" customWidth="1"/>
    <col min="6678" max="6678" width="28.88671875" style="1039" bestFit="1" customWidth="1"/>
    <col min="6679" max="6679" width="10.33203125" style="1039" customWidth="1"/>
    <col min="6680" max="6680" width="4.33203125" style="1039" customWidth="1"/>
    <col min="6681" max="6681" width="20.6640625" style="1039" customWidth="1"/>
    <col min="6682" max="6683" width="11.109375" style="1039" customWidth="1"/>
    <col min="6684" max="6684" width="17.6640625" style="1039" customWidth="1"/>
    <col min="6685" max="6685" width="12.6640625" style="1039" customWidth="1"/>
    <col min="6686" max="6688" width="15.109375" style="1039" customWidth="1"/>
    <col min="6689" max="6691" width="8.88671875" style="1039" customWidth="1"/>
    <col min="6692" max="6692" width="33" style="1039" customWidth="1"/>
    <col min="6693" max="6694" width="12.44140625" style="1039" customWidth="1"/>
    <col min="6695" max="6698" width="9.33203125" style="1039" customWidth="1"/>
    <col min="6699" max="6699" width="19.5546875" style="1039" customWidth="1"/>
    <col min="6700" max="6702" width="8.88671875" style="1039" customWidth="1"/>
    <col min="6703" max="6703" width="15.44140625" style="1039" customWidth="1"/>
    <col min="6704" max="6734" width="8.88671875" style="1039" customWidth="1"/>
    <col min="6735" max="6912" width="8.88671875" style="1039"/>
    <col min="6913" max="6913" width="8.88671875" style="1039" customWidth="1"/>
    <col min="6914" max="6914" width="2.88671875" style="1039" customWidth="1"/>
    <col min="6915" max="6915" width="5.21875" style="1039" customWidth="1"/>
    <col min="6916" max="6916" width="20.109375" style="1039" customWidth="1"/>
    <col min="6917" max="6917" width="10.6640625" style="1039" customWidth="1"/>
    <col min="6918" max="6918" width="18" style="1039" customWidth="1"/>
    <col min="6919" max="6919" width="4.33203125" style="1039" customWidth="1"/>
    <col min="6920" max="6920" width="16.5546875" style="1039" customWidth="1"/>
    <col min="6921" max="6921" width="8.77734375" style="1039" customWidth="1"/>
    <col min="6922" max="6922" width="4.77734375" style="1039" customWidth="1"/>
    <col min="6923" max="6923" width="6.21875" style="1039" customWidth="1"/>
    <col min="6924" max="6924" width="7.109375" style="1039" customWidth="1"/>
    <col min="6925" max="6925" width="4.77734375" style="1039" customWidth="1"/>
    <col min="6926" max="6926" width="22.77734375" style="1039" customWidth="1"/>
    <col min="6927" max="6927" width="12.109375" style="1039" customWidth="1"/>
    <col min="6928" max="6928" width="12" style="1039" customWidth="1"/>
    <col min="6929" max="6929" width="4.44140625" style="1039" customWidth="1"/>
    <col min="6930" max="6930" width="10.109375" style="1039" customWidth="1"/>
    <col min="6931" max="6931" width="7.21875" style="1039" customWidth="1"/>
    <col min="6932" max="6932" width="13" style="1039" customWidth="1"/>
    <col min="6933" max="6933" width="4" style="1039" customWidth="1"/>
    <col min="6934" max="6934" width="28.88671875" style="1039" bestFit="1" customWidth="1"/>
    <col min="6935" max="6935" width="10.33203125" style="1039" customWidth="1"/>
    <col min="6936" max="6936" width="4.33203125" style="1039" customWidth="1"/>
    <col min="6937" max="6937" width="20.6640625" style="1039" customWidth="1"/>
    <col min="6938" max="6939" width="11.109375" style="1039" customWidth="1"/>
    <col min="6940" max="6940" width="17.6640625" style="1039" customWidth="1"/>
    <col min="6941" max="6941" width="12.6640625" style="1039" customWidth="1"/>
    <col min="6942" max="6944" width="15.109375" style="1039" customWidth="1"/>
    <col min="6945" max="6947" width="8.88671875" style="1039" customWidth="1"/>
    <col min="6948" max="6948" width="33" style="1039" customWidth="1"/>
    <col min="6949" max="6950" width="12.44140625" style="1039" customWidth="1"/>
    <col min="6951" max="6954" width="9.33203125" style="1039" customWidth="1"/>
    <col min="6955" max="6955" width="19.5546875" style="1039" customWidth="1"/>
    <col min="6956" max="6958" width="8.88671875" style="1039" customWidth="1"/>
    <col min="6959" max="6959" width="15.44140625" style="1039" customWidth="1"/>
    <col min="6960" max="6990" width="8.88671875" style="1039" customWidth="1"/>
    <col min="6991" max="7168" width="8.88671875" style="1039"/>
    <col min="7169" max="7169" width="8.88671875" style="1039" customWidth="1"/>
    <col min="7170" max="7170" width="2.88671875" style="1039" customWidth="1"/>
    <col min="7171" max="7171" width="5.21875" style="1039" customWidth="1"/>
    <col min="7172" max="7172" width="20.109375" style="1039" customWidth="1"/>
    <col min="7173" max="7173" width="10.6640625" style="1039" customWidth="1"/>
    <col min="7174" max="7174" width="18" style="1039" customWidth="1"/>
    <col min="7175" max="7175" width="4.33203125" style="1039" customWidth="1"/>
    <col min="7176" max="7176" width="16.5546875" style="1039" customWidth="1"/>
    <col min="7177" max="7177" width="8.77734375" style="1039" customWidth="1"/>
    <col min="7178" max="7178" width="4.77734375" style="1039" customWidth="1"/>
    <col min="7179" max="7179" width="6.21875" style="1039" customWidth="1"/>
    <col min="7180" max="7180" width="7.109375" style="1039" customWidth="1"/>
    <col min="7181" max="7181" width="4.77734375" style="1039" customWidth="1"/>
    <col min="7182" max="7182" width="22.77734375" style="1039" customWidth="1"/>
    <col min="7183" max="7183" width="12.109375" style="1039" customWidth="1"/>
    <col min="7184" max="7184" width="12" style="1039" customWidth="1"/>
    <col min="7185" max="7185" width="4.44140625" style="1039" customWidth="1"/>
    <col min="7186" max="7186" width="10.109375" style="1039" customWidth="1"/>
    <col min="7187" max="7187" width="7.21875" style="1039" customWidth="1"/>
    <col min="7188" max="7188" width="13" style="1039" customWidth="1"/>
    <col min="7189" max="7189" width="4" style="1039" customWidth="1"/>
    <col min="7190" max="7190" width="28.88671875" style="1039" bestFit="1" customWidth="1"/>
    <col min="7191" max="7191" width="10.33203125" style="1039" customWidth="1"/>
    <col min="7192" max="7192" width="4.33203125" style="1039" customWidth="1"/>
    <col min="7193" max="7193" width="20.6640625" style="1039" customWidth="1"/>
    <col min="7194" max="7195" width="11.109375" style="1039" customWidth="1"/>
    <col min="7196" max="7196" width="17.6640625" style="1039" customWidth="1"/>
    <col min="7197" max="7197" width="12.6640625" style="1039" customWidth="1"/>
    <col min="7198" max="7200" width="15.109375" style="1039" customWidth="1"/>
    <col min="7201" max="7203" width="8.88671875" style="1039" customWidth="1"/>
    <col min="7204" max="7204" width="33" style="1039" customWidth="1"/>
    <col min="7205" max="7206" width="12.44140625" style="1039" customWidth="1"/>
    <col min="7207" max="7210" width="9.33203125" style="1039" customWidth="1"/>
    <col min="7211" max="7211" width="19.5546875" style="1039" customWidth="1"/>
    <col min="7212" max="7214" width="8.88671875" style="1039" customWidth="1"/>
    <col min="7215" max="7215" width="15.44140625" style="1039" customWidth="1"/>
    <col min="7216" max="7246" width="8.88671875" style="1039" customWidth="1"/>
    <col min="7247" max="7424" width="8.88671875" style="1039"/>
    <col min="7425" max="7425" width="8.88671875" style="1039" customWidth="1"/>
    <col min="7426" max="7426" width="2.88671875" style="1039" customWidth="1"/>
    <col min="7427" max="7427" width="5.21875" style="1039" customWidth="1"/>
    <col min="7428" max="7428" width="20.109375" style="1039" customWidth="1"/>
    <col min="7429" max="7429" width="10.6640625" style="1039" customWidth="1"/>
    <col min="7430" max="7430" width="18" style="1039" customWidth="1"/>
    <col min="7431" max="7431" width="4.33203125" style="1039" customWidth="1"/>
    <col min="7432" max="7432" width="16.5546875" style="1039" customWidth="1"/>
    <col min="7433" max="7433" width="8.77734375" style="1039" customWidth="1"/>
    <col min="7434" max="7434" width="4.77734375" style="1039" customWidth="1"/>
    <col min="7435" max="7435" width="6.21875" style="1039" customWidth="1"/>
    <col min="7436" max="7436" width="7.109375" style="1039" customWidth="1"/>
    <col min="7437" max="7437" width="4.77734375" style="1039" customWidth="1"/>
    <col min="7438" max="7438" width="22.77734375" style="1039" customWidth="1"/>
    <col min="7439" max="7439" width="12.109375" style="1039" customWidth="1"/>
    <col min="7440" max="7440" width="12" style="1039" customWidth="1"/>
    <col min="7441" max="7441" width="4.44140625" style="1039" customWidth="1"/>
    <col min="7442" max="7442" width="10.109375" style="1039" customWidth="1"/>
    <col min="7443" max="7443" width="7.21875" style="1039" customWidth="1"/>
    <col min="7444" max="7444" width="13" style="1039" customWidth="1"/>
    <col min="7445" max="7445" width="4" style="1039" customWidth="1"/>
    <col min="7446" max="7446" width="28.88671875" style="1039" bestFit="1" customWidth="1"/>
    <col min="7447" max="7447" width="10.33203125" style="1039" customWidth="1"/>
    <col min="7448" max="7448" width="4.33203125" style="1039" customWidth="1"/>
    <col min="7449" max="7449" width="20.6640625" style="1039" customWidth="1"/>
    <col min="7450" max="7451" width="11.109375" style="1039" customWidth="1"/>
    <col min="7452" max="7452" width="17.6640625" style="1039" customWidth="1"/>
    <col min="7453" max="7453" width="12.6640625" style="1039" customWidth="1"/>
    <col min="7454" max="7456" width="15.109375" style="1039" customWidth="1"/>
    <col min="7457" max="7459" width="8.88671875" style="1039" customWidth="1"/>
    <col min="7460" max="7460" width="33" style="1039" customWidth="1"/>
    <col min="7461" max="7462" width="12.44140625" style="1039" customWidth="1"/>
    <col min="7463" max="7466" width="9.33203125" style="1039" customWidth="1"/>
    <col min="7467" max="7467" width="19.5546875" style="1039" customWidth="1"/>
    <col min="7468" max="7470" width="8.88671875" style="1039" customWidth="1"/>
    <col min="7471" max="7471" width="15.44140625" style="1039" customWidth="1"/>
    <col min="7472" max="7502" width="8.88671875" style="1039" customWidth="1"/>
    <col min="7503" max="7680" width="8.88671875" style="1039"/>
    <col min="7681" max="7681" width="8.88671875" style="1039" customWidth="1"/>
    <col min="7682" max="7682" width="2.88671875" style="1039" customWidth="1"/>
    <col min="7683" max="7683" width="5.21875" style="1039" customWidth="1"/>
    <col min="7684" max="7684" width="20.109375" style="1039" customWidth="1"/>
    <col min="7685" max="7685" width="10.6640625" style="1039" customWidth="1"/>
    <col min="7686" max="7686" width="18" style="1039" customWidth="1"/>
    <col min="7687" max="7687" width="4.33203125" style="1039" customWidth="1"/>
    <col min="7688" max="7688" width="16.5546875" style="1039" customWidth="1"/>
    <col min="7689" max="7689" width="8.77734375" style="1039" customWidth="1"/>
    <col min="7690" max="7690" width="4.77734375" style="1039" customWidth="1"/>
    <col min="7691" max="7691" width="6.21875" style="1039" customWidth="1"/>
    <col min="7692" max="7692" width="7.109375" style="1039" customWidth="1"/>
    <col min="7693" max="7693" width="4.77734375" style="1039" customWidth="1"/>
    <col min="7694" max="7694" width="22.77734375" style="1039" customWidth="1"/>
    <col min="7695" max="7695" width="12.109375" style="1039" customWidth="1"/>
    <col min="7696" max="7696" width="12" style="1039" customWidth="1"/>
    <col min="7697" max="7697" width="4.44140625" style="1039" customWidth="1"/>
    <col min="7698" max="7698" width="10.109375" style="1039" customWidth="1"/>
    <col min="7699" max="7699" width="7.21875" style="1039" customWidth="1"/>
    <col min="7700" max="7700" width="13" style="1039" customWidth="1"/>
    <col min="7701" max="7701" width="4" style="1039" customWidth="1"/>
    <col min="7702" max="7702" width="28.88671875" style="1039" bestFit="1" customWidth="1"/>
    <col min="7703" max="7703" width="10.33203125" style="1039" customWidth="1"/>
    <col min="7704" max="7704" width="4.33203125" style="1039" customWidth="1"/>
    <col min="7705" max="7705" width="20.6640625" style="1039" customWidth="1"/>
    <col min="7706" max="7707" width="11.109375" style="1039" customWidth="1"/>
    <col min="7708" max="7708" width="17.6640625" style="1039" customWidth="1"/>
    <col min="7709" max="7709" width="12.6640625" style="1039" customWidth="1"/>
    <col min="7710" max="7712" width="15.109375" style="1039" customWidth="1"/>
    <col min="7713" max="7715" width="8.88671875" style="1039" customWidth="1"/>
    <col min="7716" max="7716" width="33" style="1039" customWidth="1"/>
    <col min="7717" max="7718" width="12.44140625" style="1039" customWidth="1"/>
    <col min="7719" max="7722" width="9.33203125" style="1039" customWidth="1"/>
    <col min="7723" max="7723" width="19.5546875" style="1039" customWidth="1"/>
    <col min="7724" max="7726" width="8.88671875" style="1039" customWidth="1"/>
    <col min="7727" max="7727" width="15.44140625" style="1039" customWidth="1"/>
    <col min="7728" max="7758" width="8.88671875" style="1039" customWidth="1"/>
    <col min="7759" max="7936" width="8.88671875" style="1039"/>
    <col min="7937" max="7937" width="8.88671875" style="1039" customWidth="1"/>
    <col min="7938" max="7938" width="2.88671875" style="1039" customWidth="1"/>
    <col min="7939" max="7939" width="5.21875" style="1039" customWidth="1"/>
    <col min="7940" max="7940" width="20.109375" style="1039" customWidth="1"/>
    <col min="7941" max="7941" width="10.6640625" style="1039" customWidth="1"/>
    <col min="7942" max="7942" width="18" style="1039" customWidth="1"/>
    <col min="7943" max="7943" width="4.33203125" style="1039" customWidth="1"/>
    <col min="7944" max="7944" width="16.5546875" style="1039" customWidth="1"/>
    <col min="7945" max="7945" width="8.77734375" style="1039" customWidth="1"/>
    <col min="7946" max="7946" width="4.77734375" style="1039" customWidth="1"/>
    <col min="7947" max="7947" width="6.21875" style="1039" customWidth="1"/>
    <col min="7948" max="7948" width="7.109375" style="1039" customWidth="1"/>
    <col min="7949" max="7949" width="4.77734375" style="1039" customWidth="1"/>
    <col min="7950" max="7950" width="22.77734375" style="1039" customWidth="1"/>
    <col min="7951" max="7951" width="12.109375" style="1039" customWidth="1"/>
    <col min="7952" max="7952" width="12" style="1039" customWidth="1"/>
    <col min="7953" max="7953" width="4.44140625" style="1039" customWidth="1"/>
    <col min="7954" max="7954" width="10.109375" style="1039" customWidth="1"/>
    <col min="7955" max="7955" width="7.21875" style="1039" customWidth="1"/>
    <col min="7956" max="7956" width="13" style="1039" customWidth="1"/>
    <col min="7957" max="7957" width="4" style="1039" customWidth="1"/>
    <col min="7958" max="7958" width="28.88671875" style="1039" bestFit="1" customWidth="1"/>
    <col min="7959" max="7959" width="10.33203125" style="1039" customWidth="1"/>
    <col min="7960" max="7960" width="4.33203125" style="1039" customWidth="1"/>
    <col min="7961" max="7961" width="20.6640625" style="1039" customWidth="1"/>
    <col min="7962" max="7963" width="11.109375" style="1039" customWidth="1"/>
    <col min="7964" max="7964" width="17.6640625" style="1039" customWidth="1"/>
    <col min="7965" max="7965" width="12.6640625" style="1039" customWidth="1"/>
    <col min="7966" max="7968" width="15.109375" style="1039" customWidth="1"/>
    <col min="7969" max="7971" width="8.88671875" style="1039" customWidth="1"/>
    <col min="7972" max="7972" width="33" style="1039" customWidth="1"/>
    <col min="7973" max="7974" width="12.44140625" style="1039" customWidth="1"/>
    <col min="7975" max="7978" width="9.33203125" style="1039" customWidth="1"/>
    <col min="7979" max="7979" width="19.5546875" style="1039" customWidth="1"/>
    <col min="7980" max="7982" width="8.88671875" style="1039" customWidth="1"/>
    <col min="7983" max="7983" width="15.44140625" style="1039" customWidth="1"/>
    <col min="7984" max="8014" width="8.88671875" style="1039" customWidth="1"/>
    <col min="8015" max="8192" width="8.88671875" style="1039"/>
    <col min="8193" max="8193" width="8.88671875" style="1039" customWidth="1"/>
    <col min="8194" max="8194" width="2.88671875" style="1039" customWidth="1"/>
    <col min="8195" max="8195" width="5.21875" style="1039" customWidth="1"/>
    <col min="8196" max="8196" width="20.109375" style="1039" customWidth="1"/>
    <col min="8197" max="8197" width="10.6640625" style="1039" customWidth="1"/>
    <col min="8198" max="8198" width="18" style="1039" customWidth="1"/>
    <col min="8199" max="8199" width="4.33203125" style="1039" customWidth="1"/>
    <col min="8200" max="8200" width="16.5546875" style="1039" customWidth="1"/>
    <col min="8201" max="8201" width="8.77734375" style="1039" customWidth="1"/>
    <col min="8202" max="8202" width="4.77734375" style="1039" customWidth="1"/>
    <col min="8203" max="8203" width="6.21875" style="1039" customWidth="1"/>
    <col min="8204" max="8204" width="7.109375" style="1039" customWidth="1"/>
    <col min="8205" max="8205" width="4.77734375" style="1039" customWidth="1"/>
    <col min="8206" max="8206" width="22.77734375" style="1039" customWidth="1"/>
    <col min="8207" max="8207" width="12.109375" style="1039" customWidth="1"/>
    <col min="8208" max="8208" width="12" style="1039" customWidth="1"/>
    <col min="8209" max="8209" width="4.44140625" style="1039" customWidth="1"/>
    <col min="8210" max="8210" width="10.109375" style="1039" customWidth="1"/>
    <col min="8211" max="8211" width="7.21875" style="1039" customWidth="1"/>
    <col min="8212" max="8212" width="13" style="1039" customWidth="1"/>
    <col min="8213" max="8213" width="4" style="1039" customWidth="1"/>
    <col min="8214" max="8214" width="28.88671875" style="1039" bestFit="1" customWidth="1"/>
    <col min="8215" max="8215" width="10.33203125" style="1039" customWidth="1"/>
    <col min="8216" max="8216" width="4.33203125" style="1039" customWidth="1"/>
    <col min="8217" max="8217" width="20.6640625" style="1039" customWidth="1"/>
    <col min="8218" max="8219" width="11.109375" style="1039" customWidth="1"/>
    <col min="8220" max="8220" width="17.6640625" style="1039" customWidth="1"/>
    <col min="8221" max="8221" width="12.6640625" style="1039" customWidth="1"/>
    <col min="8222" max="8224" width="15.109375" style="1039" customWidth="1"/>
    <col min="8225" max="8227" width="8.88671875" style="1039" customWidth="1"/>
    <col min="8228" max="8228" width="33" style="1039" customWidth="1"/>
    <col min="8229" max="8230" width="12.44140625" style="1039" customWidth="1"/>
    <col min="8231" max="8234" width="9.33203125" style="1039" customWidth="1"/>
    <col min="8235" max="8235" width="19.5546875" style="1039" customWidth="1"/>
    <col min="8236" max="8238" width="8.88671875" style="1039" customWidth="1"/>
    <col min="8239" max="8239" width="15.44140625" style="1039" customWidth="1"/>
    <col min="8240" max="8270" width="8.88671875" style="1039" customWidth="1"/>
    <col min="8271" max="8448" width="8.88671875" style="1039"/>
    <col min="8449" max="8449" width="8.88671875" style="1039" customWidth="1"/>
    <col min="8450" max="8450" width="2.88671875" style="1039" customWidth="1"/>
    <col min="8451" max="8451" width="5.21875" style="1039" customWidth="1"/>
    <col min="8452" max="8452" width="20.109375" style="1039" customWidth="1"/>
    <col min="8453" max="8453" width="10.6640625" style="1039" customWidth="1"/>
    <col min="8454" max="8454" width="18" style="1039" customWidth="1"/>
    <col min="8455" max="8455" width="4.33203125" style="1039" customWidth="1"/>
    <col min="8456" max="8456" width="16.5546875" style="1039" customWidth="1"/>
    <col min="8457" max="8457" width="8.77734375" style="1039" customWidth="1"/>
    <col min="8458" max="8458" width="4.77734375" style="1039" customWidth="1"/>
    <col min="8459" max="8459" width="6.21875" style="1039" customWidth="1"/>
    <col min="8460" max="8460" width="7.109375" style="1039" customWidth="1"/>
    <col min="8461" max="8461" width="4.77734375" style="1039" customWidth="1"/>
    <col min="8462" max="8462" width="22.77734375" style="1039" customWidth="1"/>
    <col min="8463" max="8463" width="12.109375" style="1039" customWidth="1"/>
    <col min="8464" max="8464" width="12" style="1039" customWidth="1"/>
    <col min="8465" max="8465" width="4.44140625" style="1039" customWidth="1"/>
    <col min="8466" max="8466" width="10.109375" style="1039" customWidth="1"/>
    <col min="8467" max="8467" width="7.21875" style="1039" customWidth="1"/>
    <col min="8468" max="8468" width="13" style="1039" customWidth="1"/>
    <col min="8469" max="8469" width="4" style="1039" customWidth="1"/>
    <col min="8470" max="8470" width="28.88671875" style="1039" bestFit="1" customWidth="1"/>
    <col min="8471" max="8471" width="10.33203125" style="1039" customWidth="1"/>
    <col min="8472" max="8472" width="4.33203125" style="1039" customWidth="1"/>
    <col min="8473" max="8473" width="20.6640625" style="1039" customWidth="1"/>
    <col min="8474" max="8475" width="11.109375" style="1039" customWidth="1"/>
    <col min="8476" max="8476" width="17.6640625" style="1039" customWidth="1"/>
    <col min="8477" max="8477" width="12.6640625" style="1039" customWidth="1"/>
    <col min="8478" max="8480" width="15.109375" style="1039" customWidth="1"/>
    <col min="8481" max="8483" width="8.88671875" style="1039" customWidth="1"/>
    <col min="8484" max="8484" width="33" style="1039" customWidth="1"/>
    <col min="8485" max="8486" width="12.44140625" style="1039" customWidth="1"/>
    <col min="8487" max="8490" width="9.33203125" style="1039" customWidth="1"/>
    <col min="8491" max="8491" width="19.5546875" style="1039" customWidth="1"/>
    <col min="8492" max="8494" width="8.88671875" style="1039" customWidth="1"/>
    <col min="8495" max="8495" width="15.44140625" style="1039" customWidth="1"/>
    <col min="8496" max="8526" width="8.88671875" style="1039" customWidth="1"/>
    <col min="8527" max="8704" width="8.88671875" style="1039"/>
    <col min="8705" max="8705" width="8.88671875" style="1039" customWidth="1"/>
    <col min="8706" max="8706" width="2.88671875" style="1039" customWidth="1"/>
    <col min="8707" max="8707" width="5.21875" style="1039" customWidth="1"/>
    <col min="8708" max="8708" width="20.109375" style="1039" customWidth="1"/>
    <col min="8709" max="8709" width="10.6640625" style="1039" customWidth="1"/>
    <col min="8710" max="8710" width="18" style="1039" customWidth="1"/>
    <col min="8711" max="8711" width="4.33203125" style="1039" customWidth="1"/>
    <col min="8712" max="8712" width="16.5546875" style="1039" customWidth="1"/>
    <col min="8713" max="8713" width="8.77734375" style="1039" customWidth="1"/>
    <col min="8714" max="8714" width="4.77734375" style="1039" customWidth="1"/>
    <col min="8715" max="8715" width="6.21875" style="1039" customWidth="1"/>
    <col min="8716" max="8716" width="7.109375" style="1039" customWidth="1"/>
    <col min="8717" max="8717" width="4.77734375" style="1039" customWidth="1"/>
    <col min="8718" max="8718" width="22.77734375" style="1039" customWidth="1"/>
    <col min="8719" max="8719" width="12.109375" style="1039" customWidth="1"/>
    <col min="8720" max="8720" width="12" style="1039" customWidth="1"/>
    <col min="8721" max="8721" width="4.44140625" style="1039" customWidth="1"/>
    <col min="8722" max="8722" width="10.109375" style="1039" customWidth="1"/>
    <col min="8723" max="8723" width="7.21875" style="1039" customWidth="1"/>
    <col min="8724" max="8724" width="13" style="1039" customWidth="1"/>
    <col min="8725" max="8725" width="4" style="1039" customWidth="1"/>
    <col min="8726" max="8726" width="28.88671875" style="1039" bestFit="1" customWidth="1"/>
    <col min="8727" max="8727" width="10.33203125" style="1039" customWidth="1"/>
    <col min="8728" max="8728" width="4.33203125" style="1039" customWidth="1"/>
    <col min="8729" max="8729" width="20.6640625" style="1039" customWidth="1"/>
    <col min="8730" max="8731" width="11.109375" style="1039" customWidth="1"/>
    <col min="8732" max="8732" width="17.6640625" style="1039" customWidth="1"/>
    <col min="8733" max="8733" width="12.6640625" style="1039" customWidth="1"/>
    <col min="8734" max="8736" width="15.109375" style="1039" customWidth="1"/>
    <col min="8737" max="8739" width="8.88671875" style="1039" customWidth="1"/>
    <col min="8740" max="8740" width="33" style="1039" customWidth="1"/>
    <col min="8741" max="8742" width="12.44140625" style="1039" customWidth="1"/>
    <col min="8743" max="8746" width="9.33203125" style="1039" customWidth="1"/>
    <col min="8747" max="8747" width="19.5546875" style="1039" customWidth="1"/>
    <col min="8748" max="8750" width="8.88671875" style="1039" customWidth="1"/>
    <col min="8751" max="8751" width="15.44140625" style="1039" customWidth="1"/>
    <col min="8752" max="8782" width="8.88671875" style="1039" customWidth="1"/>
    <col min="8783" max="8960" width="8.88671875" style="1039"/>
    <col min="8961" max="8961" width="8.88671875" style="1039" customWidth="1"/>
    <col min="8962" max="8962" width="2.88671875" style="1039" customWidth="1"/>
    <col min="8963" max="8963" width="5.21875" style="1039" customWidth="1"/>
    <col min="8964" max="8964" width="20.109375" style="1039" customWidth="1"/>
    <col min="8965" max="8965" width="10.6640625" style="1039" customWidth="1"/>
    <col min="8966" max="8966" width="18" style="1039" customWidth="1"/>
    <col min="8967" max="8967" width="4.33203125" style="1039" customWidth="1"/>
    <col min="8968" max="8968" width="16.5546875" style="1039" customWidth="1"/>
    <col min="8969" max="8969" width="8.77734375" style="1039" customWidth="1"/>
    <col min="8970" max="8970" width="4.77734375" style="1039" customWidth="1"/>
    <col min="8971" max="8971" width="6.21875" style="1039" customWidth="1"/>
    <col min="8972" max="8972" width="7.109375" style="1039" customWidth="1"/>
    <col min="8973" max="8973" width="4.77734375" style="1039" customWidth="1"/>
    <col min="8974" max="8974" width="22.77734375" style="1039" customWidth="1"/>
    <col min="8975" max="8975" width="12.109375" style="1039" customWidth="1"/>
    <col min="8976" max="8976" width="12" style="1039" customWidth="1"/>
    <col min="8977" max="8977" width="4.44140625" style="1039" customWidth="1"/>
    <col min="8978" max="8978" width="10.109375" style="1039" customWidth="1"/>
    <col min="8979" max="8979" width="7.21875" style="1039" customWidth="1"/>
    <col min="8980" max="8980" width="13" style="1039" customWidth="1"/>
    <col min="8981" max="8981" width="4" style="1039" customWidth="1"/>
    <col min="8982" max="8982" width="28.88671875" style="1039" bestFit="1" customWidth="1"/>
    <col min="8983" max="8983" width="10.33203125" style="1039" customWidth="1"/>
    <col min="8984" max="8984" width="4.33203125" style="1039" customWidth="1"/>
    <col min="8985" max="8985" width="20.6640625" style="1039" customWidth="1"/>
    <col min="8986" max="8987" width="11.109375" style="1039" customWidth="1"/>
    <col min="8988" max="8988" width="17.6640625" style="1039" customWidth="1"/>
    <col min="8989" max="8989" width="12.6640625" style="1039" customWidth="1"/>
    <col min="8990" max="8992" width="15.109375" style="1039" customWidth="1"/>
    <col min="8993" max="8995" width="8.88671875" style="1039" customWidth="1"/>
    <col min="8996" max="8996" width="33" style="1039" customWidth="1"/>
    <col min="8997" max="8998" width="12.44140625" style="1039" customWidth="1"/>
    <col min="8999" max="9002" width="9.33203125" style="1039" customWidth="1"/>
    <col min="9003" max="9003" width="19.5546875" style="1039" customWidth="1"/>
    <col min="9004" max="9006" width="8.88671875" style="1039" customWidth="1"/>
    <col min="9007" max="9007" width="15.44140625" style="1039" customWidth="1"/>
    <col min="9008" max="9038" width="8.88671875" style="1039" customWidth="1"/>
    <col min="9039" max="9216" width="8.88671875" style="1039"/>
    <col min="9217" max="9217" width="8.88671875" style="1039" customWidth="1"/>
    <col min="9218" max="9218" width="2.88671875" style="1039" customWidth="1"/>
    <col min="9219" max="9219" width="5.21875" style="1039" customWidth="1"/>
    <col min="9220" max="9220" width="20.109375" style="1039" customWidth="1"/>
    <col min="9221" max="9221" width="10.6640625" style="1039" customWidth="1"/>
    <col min="9222" max="9222" width="18" style="1039" customWidth="1"/>
    <col min="9223" max="9223" width="4.33203125" style="1039" customWidth="1"/>
    <col min="9224" max="9224" width="16.5546875" style="1039" customWidth="1"/>
    <col min="9225" max="9225" width="8.77734375" style="1039" customWidth="1"/>
    <col min="9226" max="9226" width="4.77734375" style="1039" customWidth="1"/>
    <col min="9227" max="9227" width="6.21875" style="1039" customWidth="1"/>
    <col min="9228" max="9228" width="7.109375" style="1039" customWidth="1"/>
    <col min="9229" max="9229" width="4.77734375" style="1039" customWidth="1"/>
    <col min="9230" max="9230" width="22.77734375" style="1039" customWidth="1"/>
    <col min="9231" max="9231" width="12.109375" style="1039" customWidth="1"/>
    <col min="9232" max="9232" width="12" style="1039" customWidth="1"/>
    <col min="9233" max="9233" width="4.44140625" style="1039" customWidth="1"/>
    <col min="9234" max="9234" width="10.109375" style="1039" customWidth="1"/>
    <col min="9235" max="9235" width="7.21875" style="1039" customWidth="1"/>
    <col min="9236" max="9236" width="13" style="1039" customWidth="1"/>
    <col min="9237" max="9237" width="4" style="1039" customWidth="1"/>
    <col min="9238" max="9238" width="28.88671875" style="1039" bestFit="1" customWidth="1"/>
    <col min="9239" max="9239" width="10.33203125" style="1039" customWidth="1"/>
    <col min="9240" max="9240" width="4.33203125" style="1039" customWidth="1"/>
    <col min="9241" max="9241" width="20.6640625" style="1039" customWidth="1"/>
    <col min="9242" max="9243" width="11.109375" style="1039" customWidth="1"/>
    <col min="9244" max="9244" width="17.6640625" style="1039" customWidth="1"/>
    <col min="9245" max="9245" width="12.6640625" style="1039" customWidth="1"/>
    <col min="9246" max="9248" width="15.109375" style="1039" customWidth="1"/>
    <col min="9249" max="9251" width="8.88671875" style="1039" customWidth="1"/>
    <col min="9252" max="9252" width="33" style="1039" customWidth="1"/>
    <col min="9253" max="9254" width="12.44140625" style="1039" customWidth="1"/>
    <col min="9255" max="9258" width="9.33203125" style="1039" customWidth="1"/>
    <col min="9259" max="9259" width="19.5546875" style="1039" customWidth="1"/>
    <col min="9260" max="9262" width="8.88671875" style="1039" customWidth="1"/>
    <col min="9263" max="9263" width="15.44140625" style="1039" customWidth="1"/>
    <col min="9264" max="9294" width="8.88671875" style="1039" customWidth="1"/>
    <col min="9295" max="9472" width="8.88671875" style="1039"/>
    <col min="9473" max="9473" width="8.88671875" style="1039" customWidth="1"/>
    <col min="9474" max="9474" width="2.88671875" style="1039" customWidth="1"/>
    <col min="9475" max="9475" width="5.21875" style="1039" customWidth="1"/>
    <col min="9476" max="9476" width="20.109375" style="1039" customWidth="1"/>
    <col min="9477" max="9477" width="10.6640625" style="1039" customWidth="1"/>
    <col min="9478" max="9478" width="18" style="1039" customWidth="1"/>
    <col min="9479" max="9479" width="4.33203125" style="1039" customWidth="1"/>
    <col min="9480" max="9480" width="16.5546875" style="1039" customWidth="1"/>
    <col min="9481" max="9481" width="8.77734375" style="1039" customWidth="1"/>
    <col min="9482" max="9482" width="4.77734375" style="1039" customWidth="1"/>
    <col min="9483" max="9483" width="6.21875" style="1039" customWidth="1"/>
    <col min="9484" max="9484" width="7.109375" style="1039" customWidth="1"/>
    <col min="9485" max="9485" width="4.77734375" style="1039" customWidth="1"/>
    <col min="9486" max="9486" width="22.77734375" style="1039" customWidth="1"/>
    <col min="9487" max="9487" width="12.109375" style="1039" customWidth="1"/>
    <col min="9488" max="9488" width="12" style="1039" customWidth="1"/>
    <col min="9489" max="9489" width="4.44140625" style="1039" customWidth="1"/>
    <col min="9490" max="9490" width="10.109375" style="1039" customWidth="1"/>
    <col min="9491" max="9491" width="7.21875" style="1039" customWidth="1"/>
    <col min="9492" max="9492" width="13" style="1039" customWidth="1"/>
    <col min="9493" max="9493" width="4" style="1039" customWidth="1"/>
    <col min="9494" max="9494" width="28.88671875" style="1039" bestFit="1" customWidth="1"/>
    <col min="9495" max="9495" width="10.33203125" style="1039" customWidth="1"/>
    <col min="9496" max="9496" width="4.33203125" style="1039" customWidth="1"/>
    <col min="9497" max="9497" width="20.6640625" style="1039" customWidth="1"/>
    <col min="9498" max="9499" width="11.109375" style="1039" customWidth="1"/>
    <col min="9500" max="9500" width="17.6640625" style="1039" customWidth="1"/>
    <col min="9501" max="9501" width="12.6640625" style="1039" customWidth="1"/>
    <col min="9502" max="9504" width="15.109375" style="1039" customWidth="1"/>
    <col min="9505" max="9507" width="8.88671875" style="1039" customWidth="1"/>
    <col min="9508" max="9508" width="33" style="1039" customWidth="1"/>
    <col min="9509" max="9510" width="12.44140625" style="1039" customWidth="1"/>
    <col min="9511" max="9514" width="9.33203125" style="1039" customWidth="1"/>
    <col min="9515" max="9515" width="19.5546875" style="1039" customWidth="1"/>
    <col min="9516" max="9518" width="8.88671875" style="1039" customWidth="1"/>
    <col min="9519" max="9519" width="15.44140625" style="1039" customWidth="1"/>
    <col min="9520" max="9550" width="8.88671875" style="1039" customWidth="1"/>
    <col min="9551" max="9728" width="8.88671875" style="1039"/>
    <col min="9729" max="9729" width="8.88671875" style="1039" customWidth="1"/>
    <col min="9730" max="9730" width="2.88671875" style="1039" customWidth="1"/>
    <col min="9731" max="9731" width="5.21875" style="1039" customWidth="1"/>
    <col min="9732" max="9732" width="20.109375" style="1039" customWidth="1"/>
    <col min="9733" max="9733" width="10.6640625" style="1039" customWidth="1"/>
    <col min="9734" max="9734" width="18" style="1039" customWidth="1"/>
    <col min="9735" max="9735" width="4.33203125" style="1039" customWidth="1"/>
    <col min="9736" max="9736" width="16.5546875" style="1039" customWidth="1"/>
    <col min="9737" max="9737" width="8.77734375" style="1039" customWidth="1"/>
    <col min="9738" max="9738" width="4.77734375" style="1039" customWidth="1"/>
    <col min="9739" max="9739" width="6.21875" style="1039" customWidth="1"/>
    <col min="9740" max="9740" width="7.109375" style="1039" customWidth="1"/>
    <col min="9741" max="9741" width="4.77734375" style="1039" customWidth="1"/>
    <col min="9742" max="9742" width="22.77734375" style="1039" customWidth="1"/>
    <col min="9743" max="9743" width="12.109375" style="1039" customWidth="1"/>
    <col min="9744" max="9744" width="12" style="1039" customWidth="1"/>
    <col min="9745" max="9745" width="4.44140625" style="1039" customWidth="1"/>
    <col min="9746" max="9746" width="10.109375" style="1039" customWidth="1"/>
    <col min="9747" max="9747" width="7.21875" style="1039" customWidth="1"/>
    <col min="9748" max="9748" width="13" style="1039" customWidth="1"/>
    <col min="9749" max="9749" width="4" style="1039" customWidth="1"/>
    <col min="9750" max="9750" width="28.88671875" style="1039" bestFit="1" customWidth="1"/>
    <col min="9751" max="9751" width="10.33203125" style="1039" customWidth="1"/>
    <col min="9752" max="9752" width="4.33203125" style="1039" customWidth="1"/>
    <col min="9753" max="9753" width="20.6640625" style="1039" customWidth="1"/>
    <col min="9754" max="9755" width="11.109375" style="1039" customWidth="1"/>
    <col min="9756" max="9756" width="17.6640625" style="1039" customWidth="1"/>
    <col min="9757" max="9757" width="12.6640625" style="1039" customWidth="1"/>
    <col min="9758" max="9760" width="15.109375" style="1039" customWidth="1"/>
    <col min="9761" max="9763" width="8.88671875" style="1039" customWidth="1"/>
    <col min="9764" max="9764" width="33" style="1039" customWidth="1"/>
    <col min="9765" max="9766" width="12.44140625" style="1039" customWidth="1"/>
    <col min="9767" max="9770" width="9.33203125" style="1039" customWidth="1"/>
    <col min="9771" max="9771" width="19.5546875" style="1039" customWidth="1"/>
    <col min="9772" max="9774" width="8.88671875" style="1039" customWidth="1"/>
    <col min="9775" max="9775" width="15.44140625" style="1039" customWidth="1"/>
    <col min="9776" max="9806" width="8.88671875" style="1039" customWidth="1"/>
    <col min="9807" max="9984" width="8.88671875" style="1039"/>
    <col min="9985" max="9985" width="8.88671875" style="1039" customWidth="1"/>
    <col min="9986" max="9986" width="2.88671875" style="1039" customWidth="1"/>
    <col min="9987" max="9987" width="5.21875" style="1039" customWidth="1"/>
    <col min="9988" max="9988" width="20.109375" style="1039" customWidth="1"/>
    <col min="9989" max="9989" width="10.6640625" style="1039" customWidth="1"/>
    <col min="9990" max="9990" width="18" style="1039" customWidth="1"/>
    <col min="9991" max="9991" width="4.33203125" style="1039" customWidth="1"/>
    <col min="9992" max="9992" width="16.5546875" style="1039" customWidth="1"/>
    <col min="9993" max="9993" width="8.77734375" style="1039" customWidth="1"/>
    <col min="9994" max="9994" width="4.77734375" style="1039" customWidth="1"/>
    <col min="9995" max="9995" width="6.21875" style="1039" customWidth="1"/>
    <col min="9996" max="9996" width="7.109375" style="1039" customWidth="1"/>
    <col min="9997" max="9997" width="4.77734375" style="1039" customWidth="1"/>
    <col min="9998" max="9998" width="22.77734375" style="1039" customWidth="1"/>
    <col min="9999" max="9999" width="12.109375" style="1039" customWidth="1"/>
    <col min="10000" max="10000" width="12" style="1039" customWidth="1"/>
    <col min="10001" max="10001" width="4.44140625" style="1039" customWidth="1"/>
    <col min="10002" max="10002" width="10.109375" style="1039" customWidth="1"/>
    <col min="10003" max="10003" width="7.21875" style="1039" customWidth="1"/>
    <col min="10004" max="10004" width="13" style="1039" customWidth="1"/>
    <col min="10005" max="10005" width="4" style="1039" customWidth="1"/>
    <col min="10006" max="10006" width="28.88671875" style="1039" bestFit="1" customWidth="1"/>
    <col min="10007" max="10007" width="10.33203125" style="1039" customWidth="1"/>
    <col min="10008" max="10008" width="4.33203125" style="1039" customWidth="1"/>
    <col min="10009" max="10009" width="20.6640625" style="1039" customWidth="1"/>
    <col min="10010" max="10011" width="11.109375" style="1039" customWidth="1"/>
    <col min="10012" max="10012" width="17.6640625" style="1039" customWidth="1"/>
    <col min="10013" max="10013" width="12.6640625" style="1039" customWidth="1"/>
    <col min="10014" max="10016" width="15.109375" style="1039" customWidth="1"/>
    <col min="10017" max="10019" width="8.88671875" style="1039" customWidth="1"/>
    <col min="10020" max="10020" width="33" style="1039" customWidth="1"/>
    <col min="10021" max="10022" width="12.44140625" style="1039" customWidth="1"/>
    <col min="10023" max="10026" width="9.33203125" style="1039" customWidth="1"/>
    <col min="10027" max="10027" width="19.5546875" style="1039" customWidth="1"/>
    <col min="10028" max="10030" width="8.88671875" style="1039" customWidth="1"/>
    <col min="10031" max="10031" width="15.44140625" style="1039" customWidth="1"/>
    <col min="10032" max="10062" width="8.88671875" style="1039" customWidth="1"/>
    <col min="10063" max="10240" width="8.88671875" style="1039"/>
    <col min="10241" max="10241" width="8.88671875" style="1039" customWidth="1"/>
    <col min="10242" max="10242" width="2.88671875" style="1039" customWidth="1"/>
    <col min="10243" max="10243" width="5.21875" style="1039" customWidth="1"/>
    <col min="10244" max="10244" width="20.109375" style="1039" customWidth="1"/>
    <col min="10245" max="10245" width="10.6640625" style="1039" customWidth="1"/>
    <col min="10246" max="10246" width="18" style="1039" customWidth="1"/>
    <col min="10247" max="10247" width="4.33203125" style="1039" customWidth="1"/>
    <col min="10248" max="10248" width="16.5546875" style="1039" customWidth="1"/>
    <col min="10249" max="10249" width="8.77734375" style="1039" customWidth="1"/>
    <col min="10250" max="10250" width="4.77734375" style="1039" customWidth="1"/>
    <col min="10251" max="10251" width="6.21875" style="1039" customWidth="1"/>
    <col min="10252" max="10252" width="7.109375" style="1039" customWidth="1"/>
    <col min="10253" max="10253" width="4.77734375" style="1039" customWidth="1"/>
    <col min="10254" max="10254" width="22.77734375" style="1039" customWidth="1"/>
    <col min="10255" max="10255" width="12.109375" style="1039" customWidth="1"/>
    <col min="10256" max="10256" width="12" style="1039" customWidth="1"/>
    <col min="10257" max="10257" width="4.44140625" style="1039" customWidth="1"/>
    <col min="10258" max="10258" width="10.109375" style="1039" customWidth="1"/>
    <col min="10259" max="10259" width="7.21875" style="1039" customWidth="1"/>
    <col min="10260" max="10260" width="13" style="1039" customWidth="1"/>
    <col min="10261" max="10261" width="4" style="1039" customWidth="1"/>
    <col min="10262" max="10262" width="28.88671875" style="1039" bestFit="1" customWidth="1"/>
    <col min="10263" max="10263" width="10.33203125" style="1039" customWidth="1"/>
    <col min="10264" max="10264" width="4.33203125" style="1039" customWidth="1"/>
    <col min="10265" max="10265" width="20.6640625" style="1039" customWidth="1"/>
    <col min="10266" max="10267" width="11.109375" style="1039" customWidth="1"/>
    <col min="10268" max="10268" width="17.6640625" style="1039" customWidth="1"/>
    <col min="10269" max="10269" width="12.6640625" style="1039" customWidth="1"/>
    <col min="10270" max="10272" width="15.109375" style="1039" customWidth="1"/>
    <col min="10273" max="10275" width="8.88671875" style="1039" customWidth="1"/>
    <col min="10276" max="10276" width="33" style="1039" customWidth="1"/>
    <col min="10277" max="10278" width="12.44140625" style="1039" customWidth="1"/>
    <col min="10279" max="10282" width="9.33203125" style="1039" customWidth="1"/>
    <col min="10283" max="10283" width="19.5546875" style="1039" customWidth="1"/>
    <col min="10284" max="10286" width="8.88671875" style="1039" customWidth="1"/>
    <col min="10287" max="10287" width="15.44140625" style="1039" customWidth="1"/>
    <col min="10288" max="10318" width="8.88671875" style="1039" customWidth="1"/>
    <col min="10319" max="10496" width="8.88671875" style="1039"/>
    <col min="10497" max="10497" width="8.88671875" style="1039" customWidth="1"/>
    <col min="10498" max="10498" width="2.88671875" style="1039" customWidth="1"/>
    <col min="10499" max="10499" width="5.21875" style="1039" customWidth="1"/>
    <col min="10500" max="10500" width="20.109375" style="1039" customWidth="1"/>
    <col min="10501" max="10501" width="10.6640625" style="1039" customWidth="1"/>
    <col min="10502" max="10502" width="18" style="1039" customWidth="1"/>
    <col min="10503" max="10503" width="4.33203125" style="1039" customWidth="1"/>
    <col min="10504" max="10504" width="16.5546875" style="1039" customWidth="1"/>
    <col min="10505" max="10505" width="8.77734375" style="1039" customWidth="1"/>
    <col min="10506" max="10506" width="4.77734375" style="1039" customWidth="1"/>
    <col min="10507" max="10507" width="6.21875" style="1039" customWidth="1"/>
    <col min="10508" max="10508" width="7.109375" style="1039" customWidth="1"/>
    <col min="10509" max="10509" width="4.77734375" style="1039" customWidth="1"/>
    <col min="10510" max="10510" width="22.77734375" style="1039" customWidth="1"/>
    <col min="10511" max="10511" width="12.109375" style="1039" customWidth="1"/>
    <col min="10512" max="10512" width="12" style="1039" customWidth="1"/>
    <col min="10513" max="10513" width="4.44140625" style="1039" customWidth="1"/>
    <col min="10514" max="10514" width="10.109375" style="1039" customWidth="1"/>
    <col min="10515" max="10515" width="7.21875" style="1039" customWidth="1"/>
    <col min="10516" max="10516" width="13" style="1039" customWidth="1"/>
    <col min="10517" max="10517" width="4" style="1039" customWidth="1"/>
    <col min="10518" max="10518" width="28.88671875" style="1039" bestFit="1" customWidth="1"/>
    <col min="10519" max="10519" width="10.33203125" style="1039" customWidth="1"/>
    <col min="10520" max="10520" width="4.33203125" style="1039" customWidth="1"/>
    <col min="10521" max="10521" width="20.6640625" style="1039" customWidth="1"/>
    <col min="10522" max="10523" width="11.109375" style="1039" customWidth="1"/>
    <col min="10524" max="10524" width="17.6640625" style="1039" customWidth="1"/>
    <col min="10525" max="10525" width="12.6640625" style="1039" customWidth="1"/>
    <col min="10526" max="10528" width="15.109375" style="1039" customWidth="1"/>
    <col min="10529" max="10531" width="8.88671875" style="1039" customWidth="1"/>
    <col min="10532" max="10532" width="33" style="1039" customWidth="1"/>
    <col min="10533" max="10534" width="12.44140625" style="1039" customWidth="1"/>
    <col min="10535" max="10538" width="9.33203125" style="1039" customWidth="1"/>
    <col min="10539" max="10539" width="19.5546875" style="1039" customWidth="1"/>
    <col min="10540" max="10542" width="8.88671875" style="1039" customWidth="1"/>
    <col min="10543" max="10543" width="15.44140625" style="1039" customWidth="1"/>
    <col min="10544" max="10574" width="8.88671875" style="1039" customWidth="1"/>
    <col min="10575" max="10752" width="8.88671875" style="1039"/>
    <col min="10753" max="10753" width="8.88671875" style="1039" customWidth="1"/>
    <col min="10754" max="10754" width="2.88671875" style="1039" customWidth="1"/>
    <col min="10755" max="10755" width="5.21875" style="1039" customWidth="1"/>
    <col min="10756" max="10756" width="20.109375" style="1039" customWidth="1"/>
    <col min="10757" max="10757" width="10.6640625" style="1039" customWidth="1"/>
    <col min="10758" max="10758" width="18" style="1039" customWidth="1"/>
    <col min="10759" max="10759" width="4.33203125" style="1039" customWidth="1"/>
    <col min="10760" max="10760" width="16.5546875" style="1039" customWidth="1"/>
    <col min="10761" max="10761" width="8.77734375" style="1039" customWidth="1"/>
    <col min="10762" max="10762" width="4.77734375" style="1039" customWidth="1"/>
    <col min="10763" max="10763" width="6.21875" style="1039" customWidth="1"/>
    <col min="10764" max="10764" width="7.109375" style="1039" customWidth="1"/>
    <col min="10765" max="10765" width="4.77734375" style="1039" customWidth="1"/>
    <col min="10766" max="10766" width="22.77734375" style="1039" customWidth="1"/>
    <col min="10767" max="10767" width="12.109375" style="1039" customWidth="1"/>
    <col min="10768" max="10768" width="12" style="1039" customWidth="1"/>
    <col min="10769" max="10769" width="4.44140625" style="1039" customWidth="1"/>
    <col min="10770" max="10770" width="10.109375" style="1039" customWidth="1"/>
    <col min="10771" max="10771" width="7.21875" style="1039" customWidth="1"/>
    <col min="10772" max="10772" width="13" style="1039" customWidth="1"/>
    <col min="10773" max="10773" width="4" style="1039" customWidth="1"/>
    <col min="10774" max="10774" width="28.88671875" style="1039" bestFit="1" customWidth="1"/>
    <col min="10775" max="10775" width="10.33203125" style="1039" customWidth="1"/>
    <col min="10776" max="10776" width="4.33203125" style="1039" customWidth="1"/>
    <col min="10777" max="10777" width="20.6640625" style="1039" customWidth="1"/>
    <col min="10778" max="10779" width="11.109375" style="1039" customWidth="1"/>
    <col min="10780" max="10780" width="17.6640625" style="1039" customWidth="1"/>
    <col min="10781" max="10781" width="12.6640625" style="1039" customWidth="1"/>
    <col min="10782" max="10784" width="15.109375" style="1039" customWidth="1"/>
    <col min="10785" max="10787" width="8.88671875" style="1039" customWidth="1"/>
    <col min="10788" max="10788" width="33" style="1039" customWidth="1"/>
    <col min="10789" max="10790" width="12.44140625" style="1039" customWidth="1"/>
    <col min="10791" max="10794" width="9.33203125" style="1039" customWidth="1"/>
    <col min="10795" max="10795" width="19.5546875" style="1039" customWidth="1"/>
    <col min="10796" max="10798" width="8.88671875" style="1039" customWidth="1"/>
    <col min="10799" max="10799" width="15.44140625" style="1039" customWidth="1"/>
    <col min="10800" max="10830" width="8.88671875" style="1039" customWidth="1"/>
    <col min="10831" max="11008" width="8.88671875" style="1039"/>
    <col min="11009" max="11009" width="8.88671875" style="1039" customWidth="1"/>
    <col min="11010" max="11010" width="2.88671875" style="1039" customWidth="1"/>
    <col min="11011" max="11011" width="5.21875" style="1039" customWidth="1"/>
    <col min="11012" max="11012" width="20.109375" style="1039" customWidth="1"/>
    <col min="11013" max="11013" width="10.6640625" style="1039" customWidth="1"/>
    <col min="11014" max="11014" width="18" style="1039" customWidth="1"/>
    <col min="11015" max="11015" width="4.33203125" style="1039" customWidth="1"/>
    <col min="11016" max="11016" width="16.5546875" style="1039" customWidth="1"/>
    <col min="11017" max="11017" width="8.77734375" style="1039" customWidth="1"/>
    <col min="11018" max="11018" width="4.77734375" style="1039" customWidth="1"/>
    <col min="11019" max="11019" width="6.21875" style="1039" customWidth="1"/>
    <col min="11020" max="11020" width="7.109375" style="1039" customWidth="1"/>
    <col min="11021" max="11021" width="4.77734375" style="1039" customWidth="1"/>
    <col min="11022" max="11022" width="22.77734375" style="1039" customWidth="1"/>
    <col min="11023" max="11023" width="12.109375" style="1039" customWidth="1"/>
    <col min="11024" max="11024" width="12" style="1039" customWidth="1"/>
    <col min="11025" max="11025" width="4.44140625" style="1039" customWidth="1"/>
    <col min="11026" max="11026" width="10.109375" style="1039" customWidth="1"/>
    <col min="11027" max="11027" width="7.21875" style="1039" customWidth="1"/>
    <col min="11028" max="11028" width="13" style="1039" customWidth="1"/>
    <col min="11029" max="11029" width="4" style="1039" customWidth="1"/>
    <col min="11030" max="11030" width="28.88671875" style="1039" bestFit="1" customWidth="1"/>
    <col min="11031" max="11031" width="10.33203125" style="1039" customWidth="1"/>
    <col min="11032" max="11032" width="4.33203125" style="1039" customWidth="1"/>
    <col min="11033" max="11033" width="20.6640625" style="1039" customWidth="1"/>
    <col min="11034" max="11035" width="11.109375" style="1039" customWidth="1"/>
    <col min="11036" max="11036" width="17.6640625" style="1039" customWidth="1"/>
    <col min="11037" max="11037" width="12.6640625" style="1039" customWidth="1"/>
    <col min="11038" max="11040" width="15.109375" style="1039" customWidth="1"/>
    <col min="11041" max="11043" width="8.88671875" style="1039" customWidth="1"/>
    <col min="11044" max="11044" width="33" style="1039" customWidth="1"/>
    <col min="11045" max="11046" width="12.44140625" style="1039" customWidth="1"/>
    <col min="11047" max="11050" width="9.33203125" style="1039" customWidth="1"/>
    <col min="11051" max="11051" width="19.5546875" style="1039" customWidth="1"/>
    <col min="11052" max="11054" width="8.88671875" style="1039" customWidth="1"/>
    <col min="11055" max="11055" width="15.44140625" style="1039" customWidth="1"/>
    <col min="11056" max="11086" width="8.88671875" style="1039" customWidth="1"/>
    <col min="11087" max="11264" width="8.88671875" style="1039"/>
    <col min="11265" max="11265" width="8.88671875" style="1039" customWidth="1"/>
    <col min="11266" max="11266" width="2.88671875" style="1039" customWidth="1"/>
    <col min="11267" max="11267" width="5.21875" style="1039" customWidth="1"/>
    <col min="11268" max="11268" width="20.109375" style="1039" customWidth="1"/>
    <col min="11269" max="11269" width="10.6640625" style="1039" customWidth="1"/>
    <col min="11270" max="11270" width="18" style="1039" customWidth="1"/>
    <col min="11271" max="11271" width="4.33203125" style="1039" customWidth="1"/>
    <col min="11272" max="11272" width="16.5546875" style="1039" customWidth="1"/>
    <col min="11273" max="11273" width="8.77734375" style="1039" customWidth="1"/>
    <col min="11274" max="11274" width="4.77734375" style="1039" customWidth="1"/>
    <col min="11275" max="11275" width="6.21875" style="1039" customWidth="1"/>
    <col min="11276" max="11276" width="7.109375" style="1039" customWidth="1"/>
    <col min="11277" max="11277" width="4.77734375" style="1039" customWidth="1"/>
    <col min="11278" max="11278" width="22.77734375" style="1039" customWidth="1"/>
    <col min="11279" max="11279" width="12.109375" style="1039" customWidth="1"/>
    <col min="11280" max="11280" width="12" style="1039" customWidth="1"/>
    <col min="11281" max="11281" width="4.44140625" style="1039" customWidth="1"/>
    <col min="11282" max="11282" width="10.109375" style="1039" customWidth="1"/>
    <col min="11283" max="11283" width="7.21875" style="1039" customWidth="1"/>
    <col min="11284" max="11284" width="13" style="1039" customWidth="1"/>
    <col min="11285" max="11285" width="4" style="1039" customWidth="1"/>
    <col min="11286" max="11286" width="28.88671875" style="1039" bestFit="1" customWidth="1"/>
    <col min="11287" max="11287" width="10.33203125" style="1039" customWidth="1"/>
    <col min="11288" max="11288" width="4.33203125" style="1039" customWidth="1"/>
    <col min="11289" max="11289" width="20.6640625" style="1039" customWidth="1"/>
    <col min="11290" max="11291" width="11.109375" style="1039" customWidth="1"/>
    <col min="11292" max="11292" width="17.6640625" style="1039" customWidth="1"/>
    <col min="11293" max="11293" width="12.6640625" style="1039" customWidth="1"/>
    <col min="11294" max="11296" width="15.109375" style="1039" customWidth="1"/>
    <col min="11297" max="11299" width="8.88671875" style="1039" customWidth="1"/>
    <col min="11300" max="11300" width="33" style="1039" customWidth="1"/>
    <col min="11301" max="11302" width="12.44140625" style="1039" customWidth="1"/>
    <col min="11303" max="11306" width="9.33203125" style="1039" customWidth="1"/>
    <col min="11307" max="11307" width="19.5546875" style="1039" customWidth="1"/>
    <col min="11308" max="11310" width="8.88671875" style="1039" customWidth="1"/>
    <col min="11311" max="11311" width="15.44140625" style="1039" customWidth="1"/>
    <col min="11312" max="11342" width="8.88671875" style="1039" customWidth="1"/>
    <col min="11343" max="11520" width="8.88671875" style="1039"/>
    <col min="11521" max="11521" width="8.88671875" style="1039" customWidth="1"/>
    <col min="11522" max="11522" width="2.88671875" style="1039" customWidth="1"/>
    <col min="11523" max="11523" width="5.21875" style="1039" customWidth="1"/>
    <col min="11524" max="11524" width="20.109375" style="1039" customWidth="1"/>
    <col min="11525" max="11525" width="10.6640625" style="1039" customWidth="1"/>
    <col min="11526" max="11526" width="18" style="1039" customWidth="1"/>
    <col min="11527" max="11527" width="4.33203125" style="1039" customWidth="1"/>
    <col min="11528" max="11528" width="16.5546875" style="1039" customWidth="1"/>
    <col min="11529" max="11529" width="8.77734375" style="1039" customWidth="1"/>
    <col min="11530" max="11530" width="4.77734375" style="1039" customWidth="1"/>
    <col min="11531" max="11531" width="6.21875" style="1039" customWidth="1"/>
    <col min="11532" max="11532" width="7.109375" style="1039" customWidth="1"/>
    <col min="11533" max="11533" width="4.77734375" style="1039" customWidth="1"/>
    <col min="11534" max="11534" width="22.77734375" style="1039" customWidth="1"/>
    <col min="11535" max="11535" width="12.109375" style="1039" customWidth="1"/>
    <col min="11536" max="11536" width="12" style="1039" customWidth="1"/>
    <col min="11537" max="11537" width="4.44140625" style="1039" customWidth="1"/>
    <col min="11538" max="11538" width="10.109375" style="1039" customWidth="1"/>
    <col min="11539" max="11539" width="7.21875" style="1039" customWidth="1"/>
    <col min="11540" max="11540" width="13" style="1039" customWidth="1"/>
    <col min="11541" max="11541" width="4" style="1039" customWidth="1"/>
    <col min="11542" max="11542" width="28.88671875" style="1039" bestFit="1" customWidth="1"/>
    <col min="11543" max="11543" width="10.33203125" style="1039" customWidth="1"/>
    <col min="11544" max="11544" width="4.33203125" style="1039" customWidth="1"/>
    <col min="11545" max="11545" width="20.6640625" style="1039" customWidth="1"/>
    <col min="11546" max="11547" width="11.109375" style="1039" customWidth="1"/>
    <col min="11548" max="11548" width="17.6640625" style="1039" customWidth="1"/>
    <col min="11549" max="11549" width="12.6640625" style="1039" customWidth="1"/>
    <col min="11550" max="11552" width="15.109375" style="1039" customWidth="1"/>
    <col min="11553" max="11555" width="8.88671875" style="1039" customWidth="1"/>
    <col min="11556" max="11556" width="33" style="1039" customWidth="1"/>
    <col min="11557" max="11558" width="12.44140625" style="1039" customWidth="1"/>
    <col min="11559" max="11562" width="9.33203125" style="1039" customWidth="1"/>
    <col min="11563" max="11563" width="19.5546875" style="1039" customWidth="1"/>
    <col min="11564" max="11566" width="8.88671875" style="1039" customWidth="1"/>
    <col min="11567" max="11567" width="15.44140625" style="1039" customWidth="1"/>
    <col min="11568" max="11598" width="8.88671875" style="1039" customWidth="1"/>
    <col min="11599" max="11776" width="8.88671875" style="1039"/>
    <col min="11777" max="11777" width="8.88671875" style="1039" customWidth="1"/>
    <col min="11778" max="11778" width="2.88671875" style="1039" customWidth="1"/>
    <col min="11779" max="11779" width="5.21875" style="1039" customWidth="1"/>
    <col min="11780" max="11780" width="20.109375" style="1039" customWidth="1"/>
    <col min="11781" max="11781" width="10.6640625" style="1039" customWidth="1"/>
    <col min="11782" max="11782" width="18" style="1039" customWidth="1"/>
    <col min="11783" max="11783" width="4.33203125" style="1039" customWidth="1"/>
    <col min="11784" max="11784" width="16.5546875" style="1039" customWidth="1"/>
    <col min="11785" max="11785" width="8.77734375" style="1039" customWidth="1"/>
    <col min="11786" max="11786" width="4.77734375" style="1039" customWidth="1"/>
    <col min="11787" max="11787" width="6.21875" style="1039" customWidth="1"/>
    <col min="11788" max="11788" width="7.109375" style="1039" customWidth="1"/>
    <col min="11789" max="11789" width="4.77734375" style="1039" customWidth="1"/>
    <col min="11790" max="11790" width="22.77734375" style="1039" customWidth="1"/>
    <col min="11791" max="11791" width="12.109375" style="1039" customWidth="1"/>
    <col min="11792" max="11792" width="12" style="1039" customWidth="1"/>
    <col min="11793" max="11793" width="4.44140625" style="1039" customWidth="1"/>
    <col min="11794" max="11794" width="10.109375" style="1039" customWidth="1"/>
    <col min="11795" max="11795" width="7.21875" style="1039" customWidth="1"/>
    <col min="11796" max="11796" width="13" style="1039" customWidth="1"/>
    <col min="11797" max="11797" width="4" style="1039" customWidth="1"/>
    <col min="11798" max="11798" width="28.88671875" style="1039" bestFit="1" customWidth="1"/>
    <col min="11799" max="11799" width="10.33203125" style="1039" customWidth="1"/>
    <col min="11800" max="11800" width="4.33203125" style="1039" customWidth="1"/>
    <col min="11801" max="11801" width="20.6640625" style="1039" customWidth="1"/>
    <col min="11802" max="11803" width="11.109375" style="1039" customWidth="1"/>
    <col min="11804" max="11804" width="17.6640625" style="1039" customWidth="1"/>
    <col min="11805" max="11805" width="12.6640625" style="1039" customWidth="1"/>
    <col min="11806" max="11808" width="15.109375" style="1039" customWidth="1"/>
    <col min="11809" max="11811" width="8.88671875" style="1039" customWidth="1"/>
    <col min="11812" max="11812" width="33" style="1039" customWidth="1"/>
    <col min="11813" max="11814" width="12.44140625" style="1039" customWidth="1"/>
    <col min="11815" max="11818" width="9.33203125" style="1039" customWidth="1"/>
    <col min="11819" max="11819" width="19.5546875" style="1039" customWidth="1"/>
    <col min="11820" max="11822" width="8.88671875" style="1039" customWidth="1"/>
    <col min="11823" max="11823" width="15.44140625" style="1039" customWidth="1"/>
    <col min="11824" max="11854" width="8.88671875" style="1039" customWidth="1"/>
    <col min="11855" max="12032" width="8.88671875" style="1039"/>
    <col min="12033" max="12033" width="8.88671875" style="1039" customWidth="1"/>
    <col min="12034" max="12034" width="2.88671875" style="1039" customWidth="1"/>
    <col min="12035" max="12035" width="5.21875" style="1039" customWidth="1"/>
    <col min="12036" max="12036" width="20.109375" style="1039" customWidth="1"/>
    <col min="12037" max="12037" width="10.6640625" style="1039" customWidth="1"/>
    <col min="12038" max="12038" width="18" style="1039" customWidth="1"/>
    <col min="12039" max="12039" width="4.33203125" style="1039" customWidth="1"/>
    <col min="12040" max="12040" width="16.5546875" style="1039" customWidth="1"/>
    <col min="12041" max="12041" width="8.77734375" style="1039" customWidth="1"/>
    <col min="12042" max="12042" width="4.77734375" style="1039" customWidth="1"/>
    <col min="12043" max="12043" width="6.21875" style="1039" customWidth="1"/>
    <col min="12044" max="12044" width="7.109375" style="1039" customWidth="1"/>
    <col min="12045" max="12045" width="4.77734375" style="1039" customWidth="1"/>
    <col min="12046" max="12046" width="22.77734375" style="1039" customWidth="1"/>
    <col min="12047" max="12047" width="12.109375" style="1039" customWidth="1"/>
    <col min="12048" max="12048" width="12" style="1039" customWidth="1"/>
    <col min="12049" max="12049" width="4.44140625" style="1039" customWidth="1"/>
    <col min="12050" max="12050" width="10.109375" style="1039" customWidth="1"/>
    <col min="12051" max="12051" width="7.21875" style="1039" customWidth="1"/>
    <col min="12052" max="12052" width="13" style="1039" customWidth="1"/>
    <col min="12053" max="12053" width="4" style="1039" customWidth="1"/>
    <col min="12054" max="12054" width="28.88671875" style="1039" bestFit="1" customWidth="1"/>
    <col min="12055" max="12055" width="10.33203125" style="1039" customWidth="1"/>
    <col min="12056" max="12056" width="4.33203125" style="1039" customWidth="1"/>
    <col min="12057" max="12057" width="20.6640625" style="1039" customWidth="1"/>
    <col min="12058" max="12059" width="11.109375" style="1039" customWidth="1"/>
    <col min="12060" max="12060" width="17.6640625" style="1039" customWidth="1"/>
    <col min="12061" max="12061" width="12.6640625" style="1039" customWidth="1"/>
    <col min="12062" max="12064" width="15.109375" style="1039" customWidth="1"/>
    <col min="12065" max="12067" width="8.88671875" style="1039" customWidth="1"/>
    <col min="12068" max="12068" width="33" style="1039" customWidth="1"/>
    <col min="12069" max="12070" width="12.44140625" style="1039" customWidth="1"/>
    <col min="12071" max="12074" width="9.33203125" style="1039" customWidth="1"/>
    <col min="12075" max="12075" width="19.5546875" style="1039" customWidth="1"/>
    <col min="12076" max="12078" width="8.88671875" style="1039" customWidth="1"/>
    <col min="12079" max="12079" width="15.44140625" style="1039" customWidth="1"/>
    <col min="12080" max="12110" width="8.88671875" style="1039" customWidth="1"/>
    <col min="12111" max="12288" width="8.88671875" style="1039"/>
    <col min="12289" max="12289" width="8.88671875" style="1039" customWidth="1"/>
    <col min="12290" max="12290" width="2.88671875" style="1039" customWidth="1"/>
    <col min="12291" max="12291" width="5.21875" style="1039" customWidth="1"/>
    <col min="12292" max="12292" width="20.109375" style="1039" customWidth="1"/>
    <col min="12293" max="12293" width="10.6640625" style="1039" customWidth="1"/>
    <col min="12294" max="12294" width="18" style="1039" customWidth="1"/>
    <col min="12295" max="12295" width="4.33203125" style="1039" customWidth="1"/>
    <col min="12296" max="12296" width="16.5546875" style="1039" customWidth="1"/>
    <col min="12297" max="12297" width="8.77734375" style="1039" customWidth="1"/>
    <col min="12298" max="12298" width="4.77734375" style="1039" customWidth="1"/>
    <col min="12299" max="12299" width="6.21875" style="1039" customWidth="1"/>
    <col min="12300" max="12300" width="7.109375" style="1039" customWidth="1"/>
    <col min="12301" max="12301" width="4.77734375" style="1039" customWidth="1"/>
    <col min="12302" max="12302" width="22.77734375" style="1039" customWidth="1"/>
    <col min="12303" max="12303" width="12.109375" style="1039" customWidth="1"/>
    <col min="12304" max="12304" width="12" style="1039" customWidth="1"/>
    <col min="12305" max="12305" width="4.44140625" style="1039" customWidth="1"/>
    <col min="12306" max="12306" width="10.109375" style="1039" customWidth="1"/>
    <col min="12307" max="12307" width="7.21875" style="1039" customWidth="1"/>
    <col min="12308" max="12308" width="13" style="1039" customWidth="1"/>
    <col min="12309" max="12309" width="4" style="1039" customWidth="1"/>
    <col min="12310" max="12310" width="28.88671875" style="1039" bestFit="1" customWidth="1"/>
    <col min="12311" max="12311" width="10.33203125" style="1039" customWidth="1"/>
    <col min="12312" max="12312" width="4.33203125" style="1039" customWidth="1"/>
    <col min="12313" max="12313" width="20.6640625" style="1039" customWidth="1"/>
    <col min="12314" max="12315" width="11.109375" style="1039" customWidth="1"/>
    <col min="12316" max="12316" width="17.6640625" style="1039" customWidth="1"/>
    <col min="12317" max="12317" width="12.6640625" style="1039" customWidth="1"/>
    <col min="12318" max="12320" width="15.109375" style="1039" customWidth="1"/>
    <col min="12321" max="12323" width="8.88671875" style="1039" customWidth="1"/>
    <col min="12324" max="12324" width="33" style="1039" customWidth="1"/>
    <col min="12325" max="12326" width="12.44140625" style="1039" customWidth="1"/>
    <col min="12327" max="12330" width="9.33203125" style="1039" customWidth="1"/>
    <col min="12331" max="12331" width="19.5546875" style="1039" customWidth="1"/>
    <col min="12332" max="12334" width="8.88671875" style="1039" customWidth="1"/>
    <col min="12335" max="12335" width="15.44140625" style="1039" customWidth="1"/>
    <col min="12336" max="12366" width="8.88671875" style="1039" customWidth="1"/>
    <col min="12367" max="12544" width="8.88671875" style="1039"/>
    <col min="12545" max="12545" width="8.88671875" style="1039" customWidth="1"/>
    <col min="12546" max="12546" width="2.88671875" style="1039" customWidth="1"/>
    <col min="12547" max="12547" width="5.21875" style="1039" customWidth="1"/>
    <col min="12548" max="12548" width="20.109375" style="1039" customWidth="1"/>
    <col min="12549" max="12549" width="10.6640625" style="1039" customWidth="1"/>
    <col min="12550" max="12550" width="18" style="1039" customWidth="1"/>
    <col min="12551" max="12551" width="4.33203125" style="1039" customWidth="1"/>
    <col min="12552" max="12552" width="16.5546875" style="1039" customWidth="1"/>
    <col min="12553" max="12553" width="8.77734375" style="1039" customWidth="1"/>
    <col min="12554" max="12554" width="4.77734375" style="1039" customWidth="1"/>
    <col min="12555" max="12555" width="6.21875" style="1039" customWidth="1"/>
    <col min="12556" max="12556" width="7.109375" style="1039" customWidth="1"/>
    <col min="12557" max="12557" width="4.77734375" style="1039" customWidth="1"/>
    <col min="12558" max="12558" width="22.77734375" style="1039" customWidth="1"/>
    <col min="12559" max="12559" width="12.109375" style="1039" customWidth="1"/>
    <col min="12560" max="12560" width="12" style="1039" customWidth="1"/>
    <col min="12561" max="12561" width="4.44140625" style="1039" customWidth="1"/>
    <col min="12562" max="12562" width="10.109375" style="1039" customWidth="1"/>
    <col min="12563" max="12563" width="7.21875" style="1039" customWidth="1"/>
    <col min="12564" max="12564" width="13" style="1039" customWidth="1"/>
    <col min="12565" max="12565" width="4" style="1039" customWidth="1"/>
    <col min="12566" max="12566" width="28.88671875" style="1039" bestFit="1" customWidth="1"/>
    <col min="12567" max="12567" width="10.33203125" style="1039" customWidth="1"/>
    <col min="12568" max="12568" width="4.33203125" style="1039" customWidth="1"/>
    <col min="12569" max="12569" width="20.6640625" style="1039" customWidth="1"/>
    <col min="12570" max="12571" width="11.109375" style="1039" customWidth="1"/>
    <col min="12572" max="12572" width="17.6640625" style="1039" customWidth="1"/>
    <col min="12573" max="12573" width="12.6640625" style="1039" customWidth="1"/>
    <col min="12574" max="12576" width="15.109375" style="1039" customWidth="1"/>
    <col min="12577" max="12579" width="8.88671875" style="1039" customWidth="1"/>
    <col min="12580" max="12580" width="33" style="1039" customWidth="1"/>
    <col min="12581" max="12582" width="12.44140625" style="1039" customWidth="1"/>
    <col min="12583" max="12586" width="9.33203125" style="1039" customWidth="1"/>
    <col min="12587" max="12587" width="19.5546875" style="1039" customWidth="1"/>
    <col min="12588" max="12590" width="8.88671875" style="1039" customWidth="1"/>
    <col min="12591" max="12591" width="15.44140625" style="1039" customWidth="1"/>
    <col min="12592" max="12622" width="8.88671875" style="1039" customWidth="1"/>
    <col min="12623" max="12800" width="8.88671875" style="1039"/>
    <col min="12801" max="12801" width="8.88671875" style="1039" customWidth="1"/>
    <col min="12802" max="12802" width="2.88671875" style="1039" customWidth="1"/>
    <col min="12803" max="12803" width="5.21875" style="1039" customWidth="1"/>
    <col min="12804" max="12804" width="20.109375" style="1039" customWidth="1"/>
    <col min="12805" max="12805" width="10.6640625" style="1039" customWidth="1"/>
    <col min="12806" max="12806" width="18" style="1039" customWidth="1"/>
    <col min="12807" max="12807" width="4.33203125" style="1039" customWidth="1"/>
    <col min="12808" max="12808" width="16.5546875" style="1039" customWidth="1"/>
    <col min="12809" max="12809" width="8.77734375" style="1039" customWidth="1"/>
    <col min="12810" max="12810" width="4.77734375" style="1039" customWidth="1"/>
    <col min="12811" max="12811" width="6.21875" style="1039" customWidth="1"/>
    <col min="12812" max="12812" width="7.109375" style="1039" customWidth="1"/>
    <col min="12813" max="12813" width="4.77734375" style="1039" customWidth="1"/>
    <col min="12814" max="12814" width="22.77734375" style="1039" customWidth="1"/>
    <col min="12815" max="12815" width="12.109375" style="1039" customWidth="1"/>
    <col min="12816" max="12816" width="12" style="1039" customWidth="1"/>
    <col min="12817" max="12817" width="4.44140625" style="1039" customWidth="1"/>
    <col min="12818" max="12818" width="10.109375" style="1039" customWidth="1"/>
    <col min="12819" max="12819" width="7.21875" style="1039" customWidth="1"/>
    <col min="12820" max="12820" width="13" style="1039" customWidth="1"/>
    <col min="12821" max="12821" width="4" style="1039" customWidth="1"/>
    <col min="12822" max="12822" width="28.88671875" style="1039" bestFit="1" customWidth="1"/>
    <col min="12823" max="12823" width="10.33203125" style="1039" customWidth="1"/>
    <col min="12824" max="12824" width="4.33203125" style="1039" customWidth="1"/>
    <col min="12825" max="12825" width="20.6640625" style="1039" customWidth="1"/>
    <col min="12826" max="12827" width="11.109375" style="1039" customWidth="1"/>
    <col min="12828" max="12828" width="17.6640625" style="1039" customWidth="1"/>
    <col min="12829" max="12829" width="12.6640625" style="1039" customWidth="1"/>
    <col min="12830" max="12832" width="15.109375" style="1039" customWidth="1"/>
    <col min="12833" max="12835" width="8.88671875" style="1039" customWidth="1"/>
    <col min="12836" max="12836" width="33" style="1039" customWidth="1"/>
    <col min="12837" max="12838" width="12.44140625" style="1039" customWidth="1"/>
    <col min="12839" max="12842" width="9.33203125" style="1039" customWidth="1"/>
    <col min="12843" max="12843" width="19.5546875" style="1039" customWidth="1"/>
    <col min="12844" max="12846" width="8.88671875" style="1039" customWidth="1"/>
    <col min="12847" max="12847" width="15.44140625" style="1039" customWidth="1"/>
    <col min="12848" max="12878" width="8.88671875" style="1039" customWidth="1"/>
    <col min="12879" max="13056" width="8.88671875" style="1039"/>
    <col min="13057" max="13057" width="8.88671875" style="1039" customWidth="1"/>
    <col min="13058" max="13058" width="2.88671875" style="1039" customWidth="1"/>
    <col min="13059" max="13059" width="5.21875" style="1039" customWidth="1"/>
    <col min="13060" max="13060" width="20.109375" style="1039" customWidth="1"/>
    <col min="13061" max="13061" width="10.6640625" style="1039" customWidth="1"/>
    <col min="13062" max="13062" width="18" style="1039" customWidth="1"/>
    <col min="13063" max="13063" width="4.33203125" style="1039" customWidth="1"/>
    <col min="13064" max="13064" width="16.5546875" style="1039" customWidth="1"/>
    <col min="13065" max="13065" width="8.77734375" style="1039" customWidth="1"/>
    <col min="13066" max="13066" width="4.77734375" style="1039" customWidth="1"/>
    <col min="13067" max="13067" width="6.21875" style="1039" customWidth="1"/>
    <col min="13068" max="13068" width="7.109375" style="1039" customWidth="1"/>
    <col min="13069" max="13069" width="4.77734375" style="1039" customWidth="1"/>
    <col min="13070" max="13070" width="22.77734375" style="1039" customWidth="1"/>
    <col min="13071" max="13071" width="12.109375" style="1039" customWidth="1"/>
    <col min="13072" max="13072" width="12" style="1039" customWidth="1"/>
    <col min="13073" max="13073" width="4.44140625" style="1039" customWidth="1"/>
    <col min="13074" max="13074" width="10.109375" style="1039" customWidth="1"/>
    <col min="13075" max="13075" width="7.21875" style="1039" customWidth="1"/>
    <col min="13076" max="13076" width="13" style="1039" customWidth="1"/>
    <col min="13077" max="13077" width="4" style="1039" customWidth="1"/>
    <col min="13078" max="13078" width="28.88671875" style="1039" bestFit="1" customWidth="1"/>
    <col min="13079" max="13079" width="10.33203125" style="1039" customWidth="1"/>
    <col min="13080" max="13080" width="4.33203125" style="1039" customWidth="1"/>
    <col min="13081" max="13081" width="20.6640625" style="1039" customWidth="1"/>
    <col min="13082" max="13083" width="11.109375" style="1039" customWidth="1"/>
    <col min="13084" max="13084" width="17.6640625" style="1039" customWidth="1"/>
    <col min="13085" max="13085" width="12.6640625" style="1039" customWidth="1"/>
    <col min="13086" max="13088" width="15.109375" style="1039" customWidth="1"/>
    <col min="13089" max="13091" width="8.88671875" style="1039" customWidth="1"/>
    <col min="13092" max="13092" width="33" style="1039" customWidth="1"/>
    <col min="13093" max="13094" width="12.44140625" style="1039" customWidth="1"/>
    <col min="13095" max="13098" width="9.33203125" style="1039" customWidth="1"/>
    <col min="13099" max="13099" width="19.5546875" style="1039" customWidth="1"/>
    <col min="13100" max="13102" width="8.88671875" style="1039" customWidth="1"/>
    <col min="13103" max="13103" width="15.44140625" style="1039" customWidth="1"/>
    <col min="13104" max="13134" width="8.88671875" style="1039" customWidth="1"/>
    <col min="13135" max="13312" width="8.88671875" style="1039"/>
    <col min="13313" max="13313" width="8.88671875" style="1039" customWidth="1"/>
    <col min="13314" max="13314" width="2.88671875" style="1039" customWidth="1"/>
    <col min="13315" max="13315" width="5.21875" style="1039" customWidth="1"/>
    <col min="13316" max="13316" width="20.109375" style="1039" customWidth="1"/>
    <col min="13317" max="13317" width="10.6640625" style="1039" customWidth="1"/>
    <col min="13318" max="13318" width="18" style="1039" customWidth="1"/>
    <col min="13319" max="13319" width="4.33203125" style="1039" customWidth="1"/>
    <col min="13320" max="13320" width="16.5546875" style="1039" customWidth="1"/>
    <col min="13321" max="13321" width="8.77734375" style="1039" customWidth="1"/>
    <col min="13322" max="13322" width="4.77734375" style="1039" customWidth="1"/>
    <col min="13323" max="13323" width="6.21875" style="1039" customWidth="1"/>
    <col min="13324" max="13324" width="7.109375" style="1039" customWidth="1"/>
    <col min="13325" max="13325" width="4.77734375" style="1039" customWidth="1"/>
    <col min="13326" max="13326" width="22.77734375" style="1039" customWidth="1"/>
    <col min="13327" max="13327" width="12.109375" style="1039" customWidth="1"/>
    <col min="13328" max="13328" width="12" style="1039" customWidth="1"/>
    <col min="13329" max="13329" width="4.44140625" style="1039" customWidth="1"/>
    <col min="13330" max="13330" width="10.109375" style="1039" customWidth="1"/>
    <col min="13331" max="13331" width="7.21875" style="1039" customWidth="1"/>
    <col min="13332" max="13332" width="13" style="1039" customWidth="1"/>
    <col min="13333" max="13333" width="4" style="1039" customWidth="1"/>
    <col min="13334" max="13334" width="28.88671875" style="1039" bestFit="1" customWidth="1"/>
    <col min="13335" max="13335" width="10.33203125" style="1039" customWidth="1"/>
    <col min="13336" max="13336" width="4.33203125" style="1039" customWidth="1"/>
    <col min="13337" max="13337" width="20.6640625" style="1039" customWidth="1"/>
    <col min="13338" max="13339" width="11.109375" style="1039" customWidth="1"/>
    <col min="13340" max="13340" width="17.6640625" style="1039" customWidth="1"/>
    <col min="13341" max="13341" width="12.6640625" style="1039" customWidth="1"/>
    <col min="13342" max="13344" width="15.109375" style="1039" customWidth="1"/>
    <col min="13345" max="13347" width="8.88671875" style="1039" customWidth="1"/>
    <col min="13348" max="13348" width="33" style="1039" customWidth="1"/>
    <col min="13349" max="13350" width="12.44140625" style="1039" customWidth="1"/>
    <col min="13351" max="13354" width="9.33203125" style="1039" customWidth="1"/>
    <col min="13355" max="13355" width="19.5546875" style="1039" customWidth="1"/>
    <col min="13356" max="13358" width="8.88671875" style="1039" customWidth="1"/>
    <col min="13359" max="13359" width="15.44140625" style="1039" customWidth="1"/>
    <col min="13360" max="13390" width="8.88671875" style="1039" customWidth="1"/>
    <col min="13391" max="13568" width="8.88671875" style="1039"/>
    <col min="13569" max="13569" width="8.88671875" style="1039" customWidth="1"/>
    <col min="13570" max="13570" width="2.88671875" style="1039" customWidth="1"/>
    <col min="13571" max="13571" width="5.21875" style="1039" customWidth="1"/>
    <col min="13572" max="13572" width="20.109375" style="1039" customWidth="1"/>
    <col min="13573" max="13573" width="10.6640625" style="1039" customWidth="1"/>
    <col min="13574" max="13574" width="18" style="1039" customWidth="1"/>
    <col min="13575" max="13575" width="4.33203125" style="1039" customWidth="1"/>
    <col min="13576" max="13576" width="16.5546875" style="1039" customWidth="1"/>
    <col min="13577" max="13577" width="8.77734375" style="1039" customWidth="1"/>
    <col min="13578" max="13578" width="4.77734375" style="1039" customWidth="1"/>
    <col min="13579" max="13579" width="6.21875" style="1039" customWidth="1"/>
    <col min="13580" max="13580" width="7.109375" style="1039" customWidth="1"/>
    <col min="13581" max="13581" width="4.77734375" style="1039" customWidth="1"/>
    <col min="13582" max="13582" width="22.77734375" style="1039" customWidth="1"/>
    <col min="13583" max="13583" width="12.109375" style="1039" customWidth="1"/>
    <col min="13584" max="13584" width="12" style="1039" customWidth="1"/>
    <col min="13585" max="13585" width="4.44140625" style="1039" customWidth="1"/>
    <col min="13586" max="13586" width="10.109375" style="1039" customWidth="1"/>
    <col min="13587" max="13587" width="7.21875" style="1039" customWidth="1"/>
    <col min="13588" max="13588" width="13" style="1039" customWidth="1"/>
    <col min="13589" max="13589" width="4" style="1039" customWidth="1"/>
    <col min="13590" max="13590" width="28.88671875" style="1039" bestFit="1" customWidth="1"/>
    <col min="13591" max="13591" width="10.33203125" style="1039" customWidth="1"/>
    <col min="13592" max="13592" width="4.33203125" style="1039" customWidth="1"/>
    <col min="13593" max="13593" width="20.6640625" style="1039" customWidth="1"/>
    <col min="13594" max="13595" width="11.109375" style="1039" customWidth="1"/>
    <col min="13596" max="13596" width="17.6640625" style="1039" customWidth="1"/>
    <col min="13597" max="13597" width="12.6640625" style="1039" customWidth="1"/>
    <col min="13598" max="13600" width="15.109375" style="1039" customWidth="1"/>
    <col min="13601" max="13603" width="8.88671875" style="1039" customWidth="1"/>
    <col min="13604" max="13604" width="33" style="1039" customWidth="1"/>
    <col min="13605" max="13606" width="12.44140625" style="1039" customWidth="1"/>
    <col min="13607" max="13610" width="9.33203125" style="1039" customWidth="1"/>
    <col min="13611" max="13611" width="19.5546875" style="1039" customWidth="1"/>
    <col min="13612" max="13614" width="8.88671875" style="1039" customWidth="1"/>
    <col min="13615" max="13615" width="15.44140625" style="1039" customWidth="1"/>
    <col min="13616" max="13646" width="8.88671875" style="1039" customWidth="1"/>
    <col min="13647" max="13824" width="8.88671875" style="1039"/>
    <col min="13825" max="13825" width="8.88671875" style="1039" customWidth="1"/>
    <col min="13826" max="13826" width="2.88671875" style="1039" customWidth="1"/>
    <col min="13827" max="13827" width="5.21875" style="1039" customWidth="1"/>
    <col min="13828" max="13828" width="20.109375" style="1039" customWidth="1"/>
    <col min="13829" max="13829" width="10.6640625" style="1039" customWidth="1"/>
    <col min="13830" max="13830" width="18" style="1039" customWidth="1"/>
    <col min="13831" max="13831" width="4.33203125" style="1039" customWidth="1"/>
    <col min="13832" max="13832" width="16.5546875" style="1039" customWidth="1"/>
    <col min="13833" max="13833" width="8.77734375" style="1039" customWidth="1"/>
    <col min="13834" max="13834" width="4.77734375" style="1039" customWidth="1"/>
    <col min="13835" max="13835" width="6.21875" style="1039" customWidth="1"/>
    <col min="13836" max="13836" width="7.109375" style="1039" customWidth="1"/>
    <col min="13837" max="13837" width="4.77734375" style="1039" customWidth="1"/>
    <col min="13838" max="13838" width="22.77734375" style="1039" customWidth="1"/>
    <col min="13839" max="13839" width="12.109375" style="1039" customWidth="1"/>
    <col min="13840" max="13840" width="12" style="1039" customWidth="1"/>
    <col min="13841" max="13841" width="4.44140625" style="1039" customWidth="1"/>
    <col min="13842" max="13842" width="10.109375" style="1039" customWidth="1"/>
    <col min="13843" max="13843" width="7.21875" style="1039" customWidth="1"/>
    <col min="13844" max="13844" width="13" style="1039" customWidth="1"/>
    <col min="13845" max="13845" width="4" style="1039" customWidth="1"/>
    <col min="13846" max="13846" width="28.88671875" style="1039" bestFit="1" customWidth="1"/>
    <col min="13847" max="13847" width="10.33203125" style="1039" customWidth="1"/>
    <col min="13848" max="13848" width="4.33203125" style="1039" customWidth="1"/>
    <col min="13849" max="13849" width="20.6640625" style="1039" customWidth="1"/>
    <col min="13850" max="13851" width="11.109375" style="1039" customWidth="1"/>
    <col min="13852" max="13852" width="17.6640625" style="1039" customWidth="1"/>
    <col min="13853" max="13853" width="12.6640625" style="1039" customWidth="1"/>
    <col min="13854" max="13856" width="15.109375" style="1039" customWidth="1"/>
    <col min="13857" max="13859" width="8.88671875" style="1039" customWidth="1"/>
    <col min="13860" max="13860" width="33" style="1039" customWidth="1"/>
    <col min="13861" max="13862" width="12.44140625" style="1039" customWidth="1"/>
    <col min="13863" max="13866" width="9.33203125" style="1039" customWidth="1"/>
    <col min="13867" max="13867" width="19.5546875" style="1039" customWidth="1"/>
    <col min="13868" max="13870" width="8.88671875" style="1039" customWidth="1"/>
    <col min="13871" max="13871" width="15.44140625" style="1039" customWidth="1"/>
    <col min="13872" max="13902" width="8.88671875" style="1039" customWidth="1"/>
    <col min="13903" max="14080" width="8.88671875" style="1039"/>
    <col min="14081" max="14081" width="8.88671875" style="1039" customWidth="1"/>
    <col min="14082" max="14082" width="2.88671875" style="1039" customWidth="1"/>
    <col min="14083" max="14083" width="5.21875" style="1039" customWidth="1"/>
    <col min="14084" max="14084" width="20.109375" style="1039" customWidth="1"/>
    <col min="14085" max="14085" width="10.6640625" style="1039" customWidth="1"/>
    <col min="14086" max="14086" width="18" style="1039" customWidth="1"/>
    <col min="14087" max="14087" width="4.33203125" style="1039" customWidth="1"/>
    <col min="14088" max="14088" width="16.5546875" style="1039" customWidth="1"/>
    <col min="14089" max="14089" width="8.77734375" style="1039" customWidth="1"/>
    <col min="14090" max="14090" width="4.77734375" style="1039" customWidth="1"/>
    <col min="14091" max="14091" width="6.21875" style="1039" customWidth="1"/>
    <col min="14092" max="14092" width="7.109375" style="1039" customWidth="1"/>
    <col min="14093" max="14093" width="4.77734375" style="1039" customWidth="1"/>
    <col min="14094" max="14094" width="22.77734375" style="1039" customWidth="1"/>
    <col min="14095" max="14095" width="12.109375" style="1039" customWidth="1"/>
    <col min="14096" max="14096" width="12" style="1039" customWidth="1"/>
    <col min="14097" max="14097" width="4.44140625" style="1039" customWidth="1"/>
    <col min="14098" max="14098" width="10.109375" style="1039" customWidth="1"/>
    <col min="14099" max="14099" width="7.21875" style="1039" customWidth="1"/>
    <col min="14100" max="14100" width="13" style="1039" customWidth="1"/>
    <col min="14101" max="14101" width="4" style="1039" customWidth="1"/>
    <col min="14102" max="14102" width="28.88671875" style="1039" bestFit="1" customWidth="1"/>
    <col min="14103" max="14103" width="10.33203125" style="1039" customWidth="1"/>
    <col min="14104" max="14104" width="4.33203125" style="1039" customWidth="1"/>
    <col min="14105" max="14105" width="20.6640625" style="1039" customWidth="1"/>
    <col min="14106" max="14107" width="11.109375" style="1039" customWidth="1"/>
    <col min="14108" max="14108" width="17.6640625" style="1039" customWidth="1"/>
    <col min="14109" max="14109" width="12.6640625" style="1039" customWidth="1"/>
    <col min="14110" max="14112" width="15.109375" style="1039" customWidth="1"/>
    <col min="14113" max="14115" width="8.88671875" style="1039" customWidth="1"/>
    <col min="14116" max="14116" width="33" style="1039" customWidth="1"/>
    <col min="14117" max="14118" width="12.44140625" style="1039" customWidth="1"/>
    <col min="14119" max="14122" width="9.33203125" style="1039" customWidth="1"/>
    <col min="14123" max="14123" width="19.5546875" style="1039" customWidth="1"/>
    <col min="14124" max="14126" width="8.88671875" style="1039" customWidth="1"/>
    <col min="14127" max="14127" width="15.44140625" style="1039" customWidth="1"/>
    <col min="14128" max="14158" width="8.88671875" style="1039" customWidth="1"/>
    <col min="14159" max="14336" width="8.88671875" style="1039"/>
    <col min="14337" max="14337" width="8.88671875" style="1039" customWidth="1"/>
    <col min="14338" max="14338" width="2.88671875" style="1039" customWidth="1"/>
    <col min="14339" max="14339" width="5.21875" style="1039" customWidth="1"/>
    <col min="14340" max="14340" width="20.109375" style="1039" customWidth="1"/>
    <col min="14341" max="14341" width="10.6640625" style="1039" customWidth="1"/>
    <col min="14342" max="14342" width="18" style="1039" customWidth="1"/>
    <col min="14343" max="14343" width="4.33203125" style="1039" customWidth="1"/>
    <col min="14344" max="14344" width="16.5546875" style="1039" customWidth="1"/>
    <col min="14345" max="14345" width="8.77734375" style="1039" customWidth="1"/>
    <col min="14346" max="14346" width="4.77734375" style="1039" customWidth="1"/>
    <col min="14347" max="14347" width="6.21875" style="1039" customWidth="1"/>
    <col min="14348" max="14348" width="7.109375" style="1039" customWidth="1"/>
    <col min="14349" max="14349" width="4.77734375" style="1039" customWidth="1"/>
    <col min="14350" max="14350" width="22.77734375" style="1039" customWidth="1"/>
    <col min="14351" max="14351" width="12.109375" style="1039" customWidth="1"/>
    <col min="14352" max="14352" width="12" style="1039" customWidth="1"/>
    <col min="14353" max="14353" width="4.44140625" style="1039" customWidth="1"/>
    <col min="14354" max="14354" width="10.109375" style="1039" customWidth="1"/>
    <col min="14355" max="14355" width="7.21875" style="1039" customWidth="1"/>
    <col min="14356" max="14356" width="13" style="1039" customWidth="1"/>
    <col min="14357" max="14357" width="4" style="1039" customWidth="1"/>
    <col min="14358" max="14358" width="28.88671875" style="1039" bestFit="1" customWidth="1"/>
    <col min="14359" max="14359" width="10.33203125" style="1039" customWidth="1"/>
    <col min="14360" max="14360" width="4.33203125" style="1039" customWidth="1"/>
    <col min="14361" max="14361" width="20.6640625" style="1039" customWidth="1"/>
    <col min="14362" max="14363" width="11.109375" style="1039" customWidth="1"/>
    <col min="14364" max="14364" width="17.6640625" style="1039" customWidth="1"/>
    <col min="14365" max="14365" width="12.6640625" style="1039" customWidth="1"/>
    <col min="14366" max="14368" width="15.109375" style="1039" customWidth="1"/>
    <col min="14369" max="14371" width="8.88671875" style="1039" customWidth="1"/>
    <col min="14372" max="14372" width="33" style="1039" customWidth="1"/>
    <col min="14373" max="14374" width="12.44140625" style="1039" customWidth="1"/>
    <col min="14375" max="14378" width="9.33203125" style="1039" customWidth="1"/>
    <col min="14379" max="14379" width="19.5546875" style="1039" customWidth="1"/>
    <col min="14380" max="14382" width="8.88671875" style="1039" customWidth="1"/>
    <col min="14383" max="14383" width="15.44140625" style="1039" customWidth="1"/>
    <col min="14384" max="14414" width="8.88671875" style="1039" customWidth="1"/>
    <col min="14415" max="14592" width="8.88671875" style="1039"/>
    <col min="14593" max="14593" width="8.88671875" style="1039" customWidth="1"/>
    <col min="14594" max="14594" width="2.88671875" style="1039" customWidth="1"/>
    <col min="14595" max="14595" width="5.21875" style="1039" customWidth="1"/>
    <col min="14596" max="14596" width="20.109375" style="1039" customWidth="1"/>
    <col min="14597" max="14597" width="10.6640625" style="1039" customWidth="1"/>
    <col min="14598" max="14598" width="18" style="1039" customWidth="1"/>
    <col min="14599" max="14599" width="4.33203125" style="1039" customWidth="1"/>
    <col min="14600" max="14600" width="16.5546875" style="1039" customWidth="1"/>
    <col min="14601" max="14601" width="8.77734375" style="1039" customWidth="1"/>
    <col min="14602" max="14602" width="4.77734375" style="1039" customWidth="1"/>
    <col min="14603" max="14603" width="6.21875" style="1039" customWidth="1"/>
    <col min="14604" max="14604" width="7.109375" style="1039" customWidth="1"/>
    <col min="14605" max="14605" width="4.77734375" style="1039" customWidth="1"/>
    <col min="14606" max="14606" width="22.77734375" style="1039" customWidth="1"/>
    <col min="14607" max="14607" width="12.109375" style="1039" customWidth="1"/>
    <col min="14608" max="14608" width="12" style="1039" customWidth="1"/>
    <col min="14609" max="14609" width="4.44140625" style="1039" customWidth="1"/>
    <col min="14610" max="14610" width="10.109375" style="1039" customWidth="1"/>
    <col min="14611" max="14611" width="7.21875" style="1039" customWidth="1"/>
    <col min="14612" max="14612" width="13" style="1039" customWidth="1"/>
    <col min="14613" max="14613" width="4" style="1039" customWidth="1"/>
    <col min="14614" max="14614" width="28.88671875" style="1039" bestFit="1" customWidth="1"/>
    <col min="14615" max="14615" width="10.33203125" style="1039" customWidth="1"/>
    <col min="14616" max="14616" width="4.33203125" style="1039" customWidth="1"/>
    <col min="14617" max="14617" width="20.6640625" style="1039" customWidth="1"/>
    <col min="14618" max="14619" width="11.109375" style="1039" customWidth="1"/>
    <col min="14620" max="14620" width="17.6640625" style="1039" customWidth="1"/>
    <col min="14621" max="14621" width="12.6640625" style="1039" customWidth="1"/>
    <col min="14622" max="14624" width="15.109375" style="1039" customWidth="1"/>
    <col min="14625" max="14627" width="8.88671875" style="1039" customWidth="1"/>
    <col min="14628" max="14628" width="33" style="1039" customWidth="1"/>
    <col min="14629" max="14630" width="12.44140625" style="1039" customWidth="1"/>
    <col min="14631" max="14634" width="9.33203125" style="1039" customWidth="1"/>
    <col min="14635" max="14635" width="19.5546875" style="1039" customWidth="1"/>
    <col min="14636" max="14638" width="8.88671875" style="1039" customWidth="1"/>
    <col min="14639" max="14639" width="15.44140625" style="1039" customWidth="1"/>
    <col min="14640" max="14670" width="8.88671875" style="1039" customWidth="1"/>
    <col min="14671" max="14848" width="8.88671875" style="1039"/>
    <col min="14849" max="14849" width="8.88671875" style="1039" customWidth="1"/>
    <col min="14850" max="14850" width="2.88671875" style="1039" customWidth="1"/>
    <col min="14851" max="14851" width="5.21875" style="1039" customWidth="1"/>
    <col min="14852" max="14852" width="20.109375" style="1039" customWidth="1"/>
    <col min="14853" max="14853" width="10.6640625" style="1039" customWidth="1"/>
    <col min="14854" max="14854" width="18" style="1039" customWidth="1"/>
    <col min="14855" max="14855" width="4.33203125" style="1039" customWidth="1"/>
    <col min="14856" max="14856" width="16.5546875" style="1039" customWidth="1"/>
    <col min="14857" max="14857" width="8.77734375" style="1039" customWidth="1"/>
    <col min="14858" max="14858" width="4.77734375" style="1039" customWidth="1"/>
    <col min="14859" max="14859" width="6.21875" style="1039" customWidth="1"/>
    <col min="14860" max="14860" width="7.109375" style="1039" customWidth="1"/>
    <col min="14861" max="14861" width="4.77734375" style="1039" customWidth="1"/>
    <col min="14862" max="14862" width="22.77734375" style="1039" customWidth="1"/>
    <col min="14863" max="14863" width="12.109375" style="1039" customWidth="1"/>
    <col min="14864" max="14864" width="12" style="1039" customWidth="1"/>
    <col min="14865" max="14865" width="4.44140625" style="1039" customWidth="1"/>
    <col min="14866" max="14866" width="10.109375" style="1039" customWidth="1"/>
    <col min="14867" max="14867" width="7.21875" style="1039" customWidth="1"/>
    <col min="14868" max="14868" width="13" style="1039" customWidth="1"/>
    <col min="14869" max="14869" width="4" style="1039" customWidth="1"/>
    <col min="14870" max="14870" width="28.88671875" style="1039" bestFit="1" customWidth="1"/>
    <col min="14871" max="14871" width="10.33203125" style="1039" customWidth="1"/>
    <col min="14872" max="14872" width="4.33203125" style="1039" customWidth="1"/>
    <col min="14873" max="14873" width="20.6640625" style="1039" customWidth="1"/>
    <col min="14874" max="14875" width="11.109375" style="1039" customWidth="1"/>
    <col min="14876" max="14876" width="17.6640625" style="1039" customWidth="1"/>
    <col min="14877" max="14877" width="12.6640625" style="1039" customWidth="1"/>
    <col min="14878" max="14880" width="15.109375" style="1039" customWidth="1"/>
    <col min="14881" max="14883" width="8.88671875" style="1039" customWidth="1"/>
    <col min="14884" max="14884" width="33" style="1039" customWidth="1"/>
    <col min="14885" max="14886" width="12.44140625" style="1039" customWidth="1"/>
    <col min="14887" max="14890" width="9.33203125" style="1039" customWidth="1"/>
    <col min="14891" max="14891" width="19.5546875" style="1039" customWidth="1"/>
    <col min="14892" max="14894" width="8.88671875" style="1039" customWidth="1"/>
    <col min="14895" max="14895" width="15.44140625" style="1039" customWidth="1"/>
    <col min="14896" max="14926" width="8.88671875" style="1039" customWidth="1"/>
    <col min="14927" max="15104" width="8.88671875" style="1039"/>
    <col min="15105" max="15105" width="8.88671875" style="1039" customWidth="1"/>
    <col min="15106" max="15106" width="2.88671875" style="1039" customWidth="1"/>
    <col min="15107" max="15107" width="5.21875" style="1039" customWidth="1"/>
    <col min="15108" max="15108" width="20.109375" style="1039" customWidth="1"/>
    <col min="15109" max="15109" width="10.6640625" style="1039" customWidth="1"/>
    <col min="15110" max="15110" width="18" style="1039" customWidth="1"/>
    <col min="15111" max="15111" width="4.33203125" style="1039" customWidth="1"/>
    <col min="15112" max="15112" width="16.5546875" style="1039" customWidth="1"/>
    <col min="15113" max="15113" width="8.77734375" style="1039" customWidth="1"/>
    <col min="15114" max="15114" width="4.77734375" style="1039" customWidth="1"/>
    <col min="15115" max="15115" width="6.21875" style="1039" customWidth="1"/>
    <col min="15116" max="15116" width="7.109375" style="1039" customWidth="1"/>
    <col min="15117" max="15117" width="4.77734375" style="1039" customWidth="1"/>
    <col min="15118" max="15118" width="22.77734375" style="1039" customWidth="1"/>
    <col min="15119" max="15119" width="12.109375" style="1039" customWidth="1"/>
    <col min="15120" max="15120" width="12" style="1039" customWidth="1"/>
    <col min="15121" max="15121" width="4.44140625" style="1039" customWidth="1"/>
    <col min="15122" max="15122" width="10.109375" style="1039" customWidth="1"/>
    <col min="15123" max="15123" width="7.21875" style="1039" customWidth="1"/>
    <col min="15124" max="15124" width="13" style="1039" customWidth="1"/>
    <col min="15125" max="15125" width="4" style="1039" customWidth="1"/>
    <col min="15126" max="15126" width="28.88671875" style="1039" bestFit="1" customWidth="1"/>
    <col min="15127" max="15127" width="10.33203125" style="1039" customWidth="1"/>
    <col min="15128" max="15128" width="4.33203125" style="1039" customWidth="1"/>
    <col min="15129" max="15129" width="20.6640625" style="1039" customWidth="1"/>
    <col min="15130" max="15131" width="11.109375" style="1039" customWidth="1"/>
    <col min="15132" max="15132" width="17.6640625" style="1039" customWidth="1"/>
    <col min="15133" max="15133" width="12.6640625" style="1039" customWidth="1"/>
    <col min="15134" max="15136" width="15.109375" style="1039" customWidth="1"/>
    <col min="15137" max="15139" width="8.88671875" style="1039" customWidth="1"/>
    <col min="15140" max="15140" width="33" style="1039" customWidth="1"/>
    <col min="15141" max="15142" width="12.44140625" style="1039" customWidth="1"/>
    <col min="15143" max="15146" width="9.33203125" style="1039" customWidth="1"/>
    <col min="15147" max="15147" width="19.5546875" style="1039" customWidth="1"/>
    <col min="15148" max="15150" width="8.88671875" style="1039" customWidth="1"/>
    <col min="15151" max="15151" width="15.44140625" style="1039" customWidth="1"/>
    <col min="15152" max="15182" width="8.88671875" style="1039" customWidth="1"/>
    <col min="15183" max="15360" width="8.88671875" style="1039"/>
    <col min="15361" max="15361" width="8.88671875" style="1039" customWidth="1"/>
    <col min="15362" max="15362" width="2.88671875" style="1039" customWidth="1"/>
    <col min="15363" max="15363" width="5.21875" style="1039" customWidth="1"/>
    <col min="15364" max="15364" width="20.109375" style="1039" customWidth="1"/>
    <col min="15365" max="15365" width="10.6640625" style="1039" customWidth="1"/>
    <col min="15366" max="15366" width="18" style="1039" customWidth="1"/>
    <col min="15367" max="15367" width="4.33203125" style="1039" customWidth="1"/>
    <col min="15368" max="15368" width="16.5546875" style="1039" customWidth="1"/>
    <col min="15369" max="15369" width="8.77734375" style="1039" customWidth="1"/>
    <col min="15370" max="15370" width="4.77734375" style="1039" customWidth="1"/>
    <col min="15371" max="15371" width="6.21875" style="1039" customWidth="1"/>
    <col min="15372" max="15372" width="7.109375" style="1039" customWidth="1"/>
    <col min="15373" max="15373" width="4.77734375" style="1039" customWidth="1"/>
    <col min="15374" max="15374" width="22.77734375" style="1039" customWidth="1"/>
    <col min="15375" max="15375" width="12.109375" style="1039" customWidth="1"/>
    <col min="15376" max="15376" width="12" style="1039" customWidth="1"/>
    <col min="15377" max="15377" width="4.44140625" style="1039" customWidth="1"/>
    <col min="15378" max="15378" width="10.109375" style="1039" customWidth="1"/>
    <col min="15379" max="15379" width="7.21875" style="1039" customWidth="1"/>
    <col min="15380" max="15380" width="13" style="1039" customWidth="1"/>
    <col min="15381" max="15381" width="4" style="1039" customWidth="1"/>
    <col min="15382" max="15382" width="28.88671875" style="1039" bestFit="1" customWidth="1"/>
    <col min="15383" max="15383" width="10.33203125" style="1039" customWidth="1"/>
    <col min="15384" max="15384" width="4.33203125" style="1039" customWidth="1"/>
    <col min="15385" max="15385" width="20.6640625" style="1039" customWidth="1"/>
    <col min="15386" max="15387" width="11.109375" style="1039" customWidth="1"/>
    <col min="15388" max="15388" width="17.6640625" style="1039" customWidth="1"/>
    <col min="15389" max="15389" width="12.6640625" style="1039" customWidth="1"/>
    <col min="15390" max="15392" width="15.109375" style="1039" customWidth="1"/>
    <col min="15393" max="15395" width="8.88671875" style="1039" customWidth="1"/>
    <col min="15396" max="15396" width="33" style="1039" customWidth="1"/>
    <col min="15397" max="15398" width="12.44140625" style="1039" customWidth="1"/>
    <col min="15399" max="15402" width="9.33203125" style="1039" customWidth="1"/>
    <col min="15403" max="15403" width="19.5546875" style="1039" customWidth="1"/>
    <col min="15404" max="15406" width="8.88671875" style="1039" customWidth="1"/>
    <col min="15407" max="15407" width="15.44140625" style="1039" customWidth="1"/>
    <col min="15408" max="15438" width="8.88671875" style="1039" customWidth="1"/>
    <col min="15439" max="15616" width="8.88671875" style="1039"/>
    <col min="15617" max="15617" width="8.88671875" style="1039" customWidth="1"/>
    <col min="15618" max="15618" width="2.88671875" style="1039" customWidth="1"/>
    <col min="15619" max="15619" width="5.21875" style="1039" customWidth="1"/>
    <col min="15620" max="15620" width="20.109375" style="1039" customWidth="1"/>
    <col min="15621" max="15621" width="10.6640625" style="1039" customWidth="1"/>
    <col min="15622" max="15622" width="18" style="1039" customWidth="1"/>
    <col min="15623" max="15623" width="4.33203125" style="1039" customWidth="1"/>
    <col min="15624" max="15624" width="16.5546875" style="1039" customWidth="1"/>
    <col min="15625" max="15625" width="8.77734375" style="1039" customWidth="1"/>
    <col min="15626" max="15626" width="4.77734375" style="1039" customWidth="1"/>
    <col min="15627" max="15627" width="6.21875" style="1039" customWidth="1"/>
    <col min="15628" max="15628" width="7.109375" style="1039" customWidth="1"/>
    <col min="15629" max="15629" width="4.77734375" style="1039" customWidth="1"/>
    <col min="15630" max="15630" width="22.77734375" style="1039" customWidth="1"/>
    <col min="15631" max="15631" width="12.109375" style="1039" customWidth="1"/>
    <col min="15632" max="15632" width="12" style="1039" customWidth="1"/>
    <col min="15633" max="15633" width="4.44140625" style="1039" customWidth="1"/>
    <col min="15634" max="15634" width="10.109375" style="1039" customWidth="1"/>
    <col min="15635" max="15635" width="7.21875" style="1039" customWidth="1"/>
    <col min="15636" max="15636" width="13" style="1039" customWidth="1"/>
    <col min="15637" max="15637" width="4" style="1039" customWidth="1"/>
    <col min="15638" max="15638" width="28.88671875" style="1039" bestFit="1" customWidth="1"/>
    <col min="15639" max="15639" width="10.33203125" style="1039" customWidth="1"/>
    <col min="15640" max="15640" width="4.33203125" style="1039" customWidth="1"/>
    <col min="15641" max="15641" width="20.6640625" style="1039" customWidth="1"/>
    <col min="15642" max="15643" width="11.109375" style="1039" customWidth="1"/>
    <col min="15644" max="15644" width="17.6640625" style="1039" customWidth="1"/>
    <col min="15645" max="15645" width="12.6640625" style="1039" customWidth="1"/>
    <col min="15646" max="15648" width="15.109375" style="1039" customWidth="1"/>
    <col min="15649" max="15651" width="8.88671875" style="1039" customWidth="1"/>
    <col min="15652" max="15652" width="33" style="1039" customWidth="1"/>
    <col min="15653" max="15654" width="12.44140625" style="1039" customWidth="1"/>
    <col min="15655" max="15658" width="9.33203125" style="1039" customWidth="1"/>
    <col min="15659" max="15659" width="19.5546875" style="1039" customWidth="1"/>
    <col min="15660" max="15662" width="8.88671875" style="1039" customWidth="1"/>
    <col min="15663" max="15663" width="15.44140625" style="1039" customWidth="1"/>
    <col min="15664" max="15694" width="8.88671875" style="1039" customWidth="1"/>
    <col min="15695" max="15872" width="8.88671875" style="1039"/>
    <col min="15873" max="15873" width="8.88671875" style="1039" customWidth="1"/>
    <col min="15874" max="15874" width="2.88671875" style="1039" customWidth="1"/>
    <col min="15875" max="15875" width="5.21875" style="1039" customWidth="1"/>
    <col min="15876" max="15876" width="20.109375" style="1039" customWidth="1"/>
    <col min="15877" max="15877" width="10.6640625" style="1039" customWidth="1"/>
    <col min="15878" max="15878" width="18" style="1039" customWidth="1"/>
    <col min="15879" max="15879" width="4.33203125" style="1039" customWidth="1"/>
    <col min="15880" max="15880" width="16.5546875" style="1039" customWidth="1"/>
    <col min="15881" max="15881" width="8.77734375" style="1039" customWidth="1"/>
    <col min="15882" max="15882" width="4.77734375" style="1039" customWidth="1"/>
    <col min="15883" max="15883" width="6.21875" style="1039" customWidth="1"/>
    <col min="15884" max="15884" width="7.109375" style="1039" customWidth="1"/>
    <col min="15885" max="15885" width="4.77734375" style="1039" customWidth="1"/>
    <col min="15886" max="15886" width="22.77734375" style="1039" customWidth="1"/>
    <col min="15887" max="15887" width="12.109375" style="1039" customWidth="1"/>
    <col min="15888" max="15888" width="12" style="1039" customWidth="1"/>
    <col min="15889" max="15889" width="4.44140625" style="1039" customWidth="1"/>
    <col min="15890" max="15890" width="10.109375" style="1039" customWidth="1"/>
    <col min="15891" max="15891" width="7.21875" style="1039" customWidth="1"/>
    <col min="15892" max="15892" width="13" style="1039" customWidth="1"/>
    <col min="15893" max="15893" width="4" style="1039" customWidth="1"/>
    <col min="15894" max="15894" width="28.88671875" style="1039" bestFit="1" customWidth="1"/>
    <col min="15895" max="15895" width="10.33203125" style="1039" customWidth="1"/>
    <col min="15896" max="15896" width="4.33203125" style="1039" customWidth="1"/>
    <col min="15897" max="15897" width="20.6640625" style="1039" customWidth="1"/>
    <col min="15898" max="15899" width="11.109375" style="1039" customWidth="1"/>
    <col min="15900" max="15900" width="17.6640625" style="1039" customWidth="1"/>
    <col min="15901" max="15901" width="12.6640625" style="1039" customWidth="1"/>
    <col min="15902" max="15904" width="15.109375" style="1039" customWidth="1"/>
    <col min="15905" max="15907" width="8.88671875" style="1039" customWidth="1"/>
    <col min="15908" max="15908" width="33" style="1039" customWidth="1"/>
    <col min="15909" max="15910" width="12.44140625" style="1039" customWidth="1"/>
    <col min="15911" max="15914" width="9.33203125" style="1039" customWidth="1"/>
    <col min="15915" max="15915" width="19.5546875" style="1039" customWidth="1"/>
    <col min="15916" max="15918" width="8.88671875" style="1039" customWidth="1"/>
    <col min="15919" max="15919" width="15.44140625" style="1039" customWidth="1"/>
    <col min="15920" max="15950" width="8.88671875" style="1039" customWidth="1"/>
    <col min="15951" max="16128" width="8.88671875" style="1039"/>
    <col min="16129" max="16129" width="8.88671875" style="1039" customWidth="1"/>
    <col min="16130" max="16130" width="2.88671875" style="1039" customWidth="1"/>
    <col min="16131" max="16131" width="5.21875" style="1039" customWidth="1"/>
    <col min="16132" max="16132" width="20.109375" style="1039" customWidth="1"/>
    <col min="16133" max="16133" width="10.6640625" style="1039" customWidth="1"/>
    <col min="16134" max="16134" width="18" style="1039" customWidth="1"/>
    <col min="16135" max="16135" width="4.33203125" style="1039" customWidth="1"/>
    <col min="16136" max="16136" width="16.5546875" style="1039" customWidth="1"/>
    <col min="16137" max="16137" width="8.77734375" style="1039" customWidth="1"/>
    <col min="16138" max="16138" width="4.77734375" style="1039" customWidth="1"/>
    <col min="16139" max="16139" width="6.21875" style="1039" customWidth="1"/>
    <col min="16140" max="16140" width="7.109375" style="1039" customWidth="1"/>
    <col min="16141" max="16141" width="4.77734375" style="1039" customWidth="1"/>
    <col min="16142" max="16142" width="22.77734375" style="1039" customWidth="1"/>
    <col min="16143" max="16143" width="12.109375" style="1039" customWidth="1"/>
    <col min="16144" max="16144" width="12" style="1039" customWidth="1"/>
    <col min="16145" max="16145" width="4.44140625" style="1039" customWidth="1"/>
    <col min="16146" max="16146" width="10.109375" style="1039" customWidth="1"/>
    <col min="16147" max="16147" width="7.21875" style="1039" customWidth="1"/>
    <col min="16148" max="16148" width="13" style="1039" customWidth="1"/>
    <col min="16149" max="16149" width="4" style="1039" customWidth="1"/>
    <col min="16150" max="16150" width="28.88671875" style="1039" bestFit="1" customWidth="1"/>
    <col min="16151" max="16151" width="10.33203125" style="1039" customWidth="1"/>
    <col min="16152" max="16152" width="4.33203125" style="1039" customWidth="1"/>
    <col min="16153" max="16153" width="20.6640625" style="1039" customWidth="1"/>
    <col min="16154" max="16155" width="11.109375" style="1039" customWidth="1"/>
    <col min="16156" max="16156" width="17.6640625" style="1039" customWidth="1"/>
    <col min="16157" max="16157" width="12.6640625" style="1039" customWidth="1"/>
    <col min="16158" max="16160" width="15.109375" style="1039" customWidth="1"/>
    <col min="16161" max="16163" width="8.88671875" style="1039" customWidth="1"/>
    <col min="16164" max="16164" width="33" style="1039" customWidth="1"/>
    <col min="16165" max="16166" width="12.44140625" style="1039" customWidth="1"/>
    <col min="16167" max="16170" width="9.33203125" style="1039" customWidth="1"/>
    <col min="16171" max="16171" width="19.5546875" style="1039" customWidth="1"/>
    <col min="16172" max="16174" width="8.88671875" style="1039" customWidth="1"/>
    <col min="16175" max="16175" width="15.44140625" style="1039" customWidth="1"/>
    <col min="16176" max="16206" width="8.88671875" style="1039" customWidth="1"/>
    <col min="16207" max="16384" width="8.88671875" style="1039"/>
  </cols>
  <sheetData>
    <row r="1" spans="2:48" ht="12.75" thickBot="1" x14ac:dyDescent="0.25">
      <c r="B1" s="1036" t="s">
        <v>69</v>
      </c>
      <c r="D1" s="1542" t="s">
        <v>72</v>
      </c>
      <c r="E1" s="1542"/>
      <c r="F1" s="1038"/>
      <c r="K1" s="1542" t="s">
        <v>70</v>
      </c>
      <c r="L1" s="1542"/>
      <c r="N1" s="1542" t="s">
        <v>71</v>
      </c>
      <c r="O1" s="1542"/>
      <c r="Y1" s="1040" t="s">
        <v>76</v>
      </c>
      <c r="Z1" s="1040"/>
      <c r="AA1" s="1040"/>
      <c r="AB1" s="1040"/>
      <c r="AC1" s="1040" t="s">
        <v>77</v>
      </c>
      <c r="AD1" s="1040"/>
    </row>
    <row r="2" spans="2:48" ht="36" x14ac:dyDescent="0.2">
      <c r="C2" s="1041"/>
      <c r="D2" s="1042" t="s">
        <v>1</v>
      </c>
      <c r="E2" s="1042" t="s">
        <v>67</v>
      </c>
      <c r="F2" s="1043" t="s">
        <v>168</v>
      </c>
      <c r="G2" s="1041"/>
      <c r="H2" s="1042" t="s">
        <v>2</v>
      </c>
      <c r="I2" s="1042" t="s">
        <v>73</v>
      </c>
      <c r="J2" s="1041"/>
      <c r="K2" s="1042" t="s">
        <v>40</v>
      </c>
      <c r="L2" s="1042" t="s">
        <v>66</v>
      </c>
      <c r="M2" s="1041"/>
      <c r="N2" s="1042" t="s">
        <v>3</v>
      </c>
      <c r="O2" s="1044" t="s">
        <v>173</v>
      </c>
      <c r="P2" s="1042" t="s">
        <v>55</v>
      </c>
      <c r="Q2" s="1041"/>
      <c r="R2" s="1042" t="s">
        <v>14</v>
      </c>
      <c r="S2" s="1042" t="s">
        <v>25</v>
      </c>
      <c r="T2" s="1042" t="s">
        <v>15</v>
      </c>
      <c r="U2" s="1041"/>
      <c r="V2" s="1042" t="s">
        <v>16</v>
      </c>
      <c r="W2" s="1042" t="s">
        <v>68</v>
      </c>
      <c r="X2" s="1041"/>
      <c r="Y2" s="1042" t="s">
        <v>26</v>
      </c>
      <c r="Z2" s="1044" t="s">
        <v>271</v>
      </c>
      <c r="AA2" s="1044" t="s">
        <v>292</v>
      </c>
      <c r="AB2" s="1044"/>
      <c r="AC2" s="1044" t="s">
        <v>39</v>
      </c>
      <c r="AD2" s="1044" t="s">
        <v>272</v>
      </c>
      <c r="AE2" s="1045" t="s">
        <v>83</v>
      </c>
      <c r="AF2" s="1046" t="s">
        <v>73</v>
      </c>
      <c r="AG2" s="1047" t="s">
        <v>743</v>
      </c>
      <c r="AH2" s="1048" t="s">
        <v>237</v>
      </c>
      <c r="AI2" s="1048" t="s">
        <v>242</v>
      </c>
      <c r="AJ2" s="1046" t="s">
        <v>744</v>
      </c>
      <c r="AK2" s="1049" t="s">
        <v>745</v>
      </c>
      <c r="AL2" s="1049" t="s">
        <v>746</v>
      </c>
      <c r="AM2" s="1049" t="s">
        <v>747</v>
      </c>
      <c r="AN2" s="1049" t="s">
        <v>748</v>
      </c>
      <c r="AO2" s="1049" t="s">
        <v>748</v>
      </c>
      <c r="AP2" s="1049"/>
      <c r="AQ2" s="1048" t="s">
        <v>749</v>
      </c>
      <c r="AR2" s="1048" t="s">
        <v>750</v>
      </c>
      <c r="AS2" s="1048" t="s">
        <v>751</v>
      </c>
      <c r="AT2" s="1048" t="s">
        <v>752</v>
      </c>
      <c r="AU2" s="1048" t="s">
        <v>753</v>
      </c>
      <c r="AV2" s="1048" t="s">
        <v>754</v>
      </c>
    </row>
    <row r="3" spans="2:48" x14ac:dyDescent="0.2">
      <c r="C3" s="1041"/>
      <c r="D3" s="1050"/>
      <c r="E3" s="1050"/>
      <c r="F3" s="1050"/>
      <c r="G3" s="1041"/>
      <c r="H3" s="1051" t="s">
        <v>74</v>
      </c>
      <c r="I3" s="1052" t="s">
        <v>115</v>
      </c>
      <c r="J3" s="1041"/>
      <c r="K3" s="1050"/>
      <c r="L3" s="1050"/>
      <c r="M3" s="1041"/>
      <c r="N3" s="1050"/>
      <c r="O3" s="1043"/>
      <c r="P3" s="1050"/>
      <c r="Q3" s="1041"/>
      <c r="R3" s="1050"/>
      <c r="S3" s="1050"/>
      <c r="T3" s="1050"/>
      <c r="U3" s="1041"/>
      <c r="V3" s="1050"/>
      <c r="W3" s="1050"/>
      <c r="X3" s="1041"/>
      <c r="Y3" s="1050"/>
      <c r="Z3" s="285"/>
      <c r="AA3" s="285"/>
      <c r="AB3" s="285"/>
      <c r="AC3" s="1050"/>
      <c r="AD3" s="1053"/>
      <c r="AE3" s="1054"/>
      <c r="AF3" s="1049"/>
      <c r="AG3" s="1055"/>
      <c r="AH3" s="1048"/>
      <c r="AI3" s="1048"/>
      <c r="AJ3" s="1049"/>
      <c r="AK3" s="1049"/>
      <c r="AL3" s="1049"/>
      <c r="AM3" s="1049" t="s">
        <v>755</v>
      </c>
      <c r="AN3" s="1049" t="s">
        <v>756</v>
      </c>
      <c r="AO3" s="1049" t="s">
        <v>757</v>
      </c>
      <c r="AP3" s="1049"/>
      <c r="AQ3" s="1048"/>
      <c r="AR3" s="1048"/>
      <c r="AS3" s="1048"/>
      <c r="AT3" s="1048"/>
      <c r="AU3" s="1048"/>
      <c r="AV3" s="1048"/>
    </row>
    <row r="4" spans="2:48" ht="15" customHeight="1" x14ac:dyDescent="0.2">
      <c r="B4" s="1039">
        <v>1</v>
      </c>
      <c r="C4" s="1056"/>
      <c r="D4" s="1057" t="s">
        <v>434</v>
      </c>
      <c r="E4" s="1058">
        <v>0</v>
      </c>
      <c r="F4" s="1059" t="s">
        <v>170</v>
      </c>
      <c r="G4" s="1059"/>
      <c r="H4" s="1060" t="s">
        <v>144</v>
      </c>
      <c r="I4" s="1061" t="s">
        <v>115</v>
      </c>
      <c r="J4" s="1062"/>
      <c r="K4" s="1060" t="s">
        <v>64</v>
      </c>
      <c r="L4" s="1063"/>
      <c r="M4" s="1062"/>
      <c r="N4" s="1057" t="s">
        <v>4</v>
      </c>
      <c r="O4" s="1010">
        <v>0</v>
      </c>
      <c r="P4" s="1058">
        <v>2</v>
      </c>
      <c r="Q4" s="1059"/>
      <c r="R4" s="1058" t="s">
        <v>377</v>
      </c>
      <c r="S4" s="1058" t="s">
        <v>378</v>
      </c>
      <c r="T4" s="1057" t="s">
        <v>195</v>
      </c>
      <c r="U4" s="1059"/>
      <c r="V4" s="1057" t="s">
        <v>38</v>
      </c>
      <c r="W4" s="1061">
        <v>0</v>
      </c>
      <c r="X4" s="1059"/>
      <c r="Y4" s="284" t="s">
        <v>223</v>
      </c>
      <c r="AA4" s="1064">
        <v>11.5</v>
      </c>
      <c r="AB4" s="1065"/>
      <c r="AC4" s="280" t="s">
        <v>207</v>
      </c>
      <c r="AD4" s="1002">
        <v>0</v>
      </c>
      <c r="AE4" s="1066" t="s">
        <v>131</v>
      </c>
      <c r="AF4" s="1067">
        <v>0</v>
      </c>
      <c r="AG4" s="1068" t="s">
        <v>758</v>
      </c>
      <c r="AH4" s="585" t="s">
        <v>457</v>
      </c>
      <c r="AI4" s="212">
        <v>3.75</v>
      </c>
      <c r="AJ4" s="1069" t="s">
        <v>759</v>
      </c>
      <c r="AK4" s="1070" t="s">
        <v>758</v>
      </c>
      <c r="AL4" s="1070" t="s">
        <v>380</v>
      </c>
      <c r="AM4" s="1071">
        <v>0</v>
      </c>
      <c r="AN4" s="1070">
        <v>0</v>
      </c>
      <c r="AO4" s="1070">
        <v>0</v>
      </c>
      <c r="AP4" s="1070"/>
      <c r="AQ4" s="1072" t="s">
        <v>758</v>
      </c>
      <c r="AR4" s="1073" t="s">
        <v>760</v>
      </c>
      <c r="AS4" s="1073" t="s">
        <v>760</v>
      </c>
      <c r="AT4" s="1073" t="s">
        <v>761</v>
      </c>
      <c r="AU4" s="1073" t="s">
        <v>169</v>
      </c>
      <c r="AV4" s="1039" t="s">
        <v>169</v>
      </c>
    </row>
    <row r="5" spans="2:48" ht="15" customHeight="1" x14ac:dyDescent="0.2">
      <c r="B5" s="1039">
        <f t="shared" ref="B5:B15" si="0">SUM(B4+1)</f>
        <v>2</v>
      </c>
      <c r="C5" s="1056"/>
      <c r="D5" s="1057" t="s">
        <v>466</v>
      </c>
      <c r="E5" s="1058">
        <v>32</v>
      </c>
      <c r="F5" s="1059" t="s">
        <v>170</v>
      </c>
      <c r="G5" s="1059"/>
      <c r="H5" s="1060" t="s">
        <v>762</v>
      </c>
      <c r="I5" s="1061" t="s">
        <v>115</v>
      </c>
      <c r="J5" s="1062"/>
      <c r="K5" s="1060" t="s">
        <v>65</v>
      </c>
      <c r="L5" s="1061" t="s">
        <v>115</v>
      </c>
      <c r="M5" s="1062"/>
      <c r="N5" s="1057" t="s">
        <v>6</v>
      </c>
      <c r="O5" s="1010">
        <v>0</v>
      </c>
      <c r="P5" s="1058">
        <v>1</v>
      </c>
      <c r="Q5" s="1059"/>
      <c r="R5" s="1058" t="s">
        <v>17</v>
      </c>
      <c r="S5" s="1058">
        <v>1</v>
      </c>
      <c r="T5" s="1057" t="s">
        <v>196</v>
      </c>
      <c r="U5" s="1059"/>
      <c r="V5" s="1057" t="s">
        <v>28</v>
      </c>
      <c r="W5" s="1061">
        <v>0</v>
      </c>
      <c r="X5" s="1059"/>
      <c r="Y5" s="1009" t="s">
        <v>224</v>
      </c>
      <c r="AA5" s="1033">
        <v>15</v>
      </c>
      <c r="AB5" s="1065"/>
      <c r="AC5" s="280" t="s">
        <v>849</v>
      </c>
      <c r="AD5" s="1002">
        <v>8</v>
      </c>
      <c r="AE5" s="1066" t="s">
        <v>85</v>
      </c>
      <c r="AF5" s="1074">
        <v>0</v>
      </c>
      <c r="AG5" s="1068" t="s">
        <v>85</v>
      </c>
      <c r="AH5" s="585" t="s">
        <v>458</v>
      </c>
      <c r="AI5" s="212">
        <v>3.75</v>
      </c>
      <c r="AJ5" s="1075" t="s">
        <v>758</v>
      </c>
      <c r="AK5" s="1076" t="s">
        <v>758</v>
      </c>
      <c r="AL5" s="1076" t="s">
        <v>380</v>
      </c>
      <c r="AM5" s="1071">
        <f>300*-0.065</f>
        <v>-19.5</v>
      </c>
      <c r="AN5" s="1071">
        <f>ROUND(281.25*-0.065,2)</f>
        <v>-18.28</v>
      </c>
      <c r="AO5" s="1070">
        <f>ROUND(262.5*-0.065,2)</f>
        <v>-17.059999999999999</v>
      </c>
      <c r="AP5" s="1070"/>
      <c r="AQ5" s="1072" t="s">
        <v>763</v>
      </c>
      <c r="AR5" s="1072" t="s">
        <v>764</v>
      </c>
      <c r="AS5" s="1072" t="s">
        <v>764</v>
      </c>
      <c r="AT5" s="1072" t="s">
        <v>765</v>
      </c>
      <c r="AU5" s="1073" t="s">
        <v>766</v>
      </c>
      <c r="AV5" s="1039" t="s">
        <v>767</v>
      </c>
    </row>
    <row r="6" spans="2:48" ht="15" customHeight="1" x14ac:dyDescent="0.2">
      <c r="B6" s="1039">
        <f t="shared" si="0"/>
        <v>3</v>
      </c>
      <c r="C6" s="1056"/>
      <c r="D6" s="1057" t="s">
        <v>49</v>
      </c>
      <c r="E6" s="1058">
        <v>0</v>
      </c>
      <c r="F6" s="1059" t="s">
        <v>170</v>
      </c>
      <c r="G6" s="1059"/>
      <c r="H6" s="1060" t="s">
        <v>145</v>
      </c>
      <c r="I6" s="1061" t="s">
        <v>115</v>
      </c>
      <c r="J6" s="1062"/>
      <c r="K6" s="1060"/>
      <c r="L6" s="1063"/>
      <c r="M6" s="1062"/>
      <c r="N6" s="1057" t="s">
        <v>5</v>
      </c>
      <c r="O6" s="1010">
        <v>0</v>
      </c>
      <c r="P6" s="1058">
        <v>1</v>
      </c>
      <c r="Q6" s="1059"/>
      <c r="R6" s="1058" t="s">
        <v>18</v>
      </c>
      <c r="S6" s="1058">
        <v>1</v>
      </c>
      <c r="T6" s="1057" t="s">
        <v>199</v>
      </c>
      <c r="U6" s="1059"/>
      <c r="V6" s="1011" t="s">
        <v>88</v>
      </c>
      <c r="W6" s="1061">
        <v>0</v>
      </c>
      <c r="X6" s="1059"/>
      <c r="Y6" s="1009" t="s">
        <v>220</v>
      </c>
      <c r="AA6" s="1033">
        <v>18.5</v>
      </c>
      <c r="AB6" s="1065"/>
      <c r="AC6" s="280" t="s">
        <v>848</v>
      </c>
      <c r="AD6" s="1002">
        <v>8</v>
      </c>
      <c r="AH6" s="585" t="s">
        <v>459</v>
      </c>
      <c r="AI6" s="212">
        <v>3.75</v>
      </c>
      <c r="AJ6" s="1069" t="s">
        <v>768</v>
      </c>
      <c r="AK6" s="1070" t="s">
        <v>768</v>
      </c>
      <c r="AL6" s="1070" t="s">
        <v>380</v>
      </c>
      <c r="AM6" s="1071">
        <v>0</v>
      </c>
      <c r="AN6" s="1070">
        <v>0</v>
      </c>
      <c r="AO6" s="1070">
        <v>0</v>
      </c>
      <c r="AP6" s="1070"/>
      <c r="AQ6" s="1072" t="s">
        <v>769</v>
      </c>
      <c r="AR6" s="1072" t="s">
        <v>770</v>
      </c>
      <c r="AS6" s="1072" t="s">
        <v>770</v>
      </c>
      <c r="AT6" s="1072" t="s">
        <v>771</v>
      </c>
      <c r="AU6" s="1072" t="s">
        <v>772</v>
      </c>
      <c r="AV6" s="1039" t="s">
        <v>773</v>
      </c>
    </row>
    <row r="7" spans="2:48" ht="15" customHeight="1" x14ac:dyDescent="0.2">
      <c r="B7" s="1039">
        <f t="shared" si="0"/>
        <v>4</v>
      </c>
      <c r="C7" s="1056"/>
      <c r="D7" s="1057" t="s">
        <v>281</v>
      </c>
      <c r="E7" s="1058">
        <v>32</v>
      </c>
      <c r="F7" s="1059" t="s">
        <v>170</v>
      </c>
      <c r="G7" s="1059"/>
      <c r="H7" s="1060" t="s">
        <v>146</v>
      </c>
      <c r="I7" s="1061" t="s">
        <v>115</v>
      </c>
      <c r="J7" s="1062"/>
      <c r="K7" s="1060"/>
      <c r="L7" s="1060"/>
      <c r="M7" s="1062"/>
      <c r="N7" s="1057" t="s">
        <v>175</v>
      </c>
      <c r="O7" s="1077">
        <v>54</v>
      </c>
      <c r="P7" s="1058">
        <v>1</v>
      </c>
      <c r="R7" s="1058" t="s">
        <v>19</v>
      </c>
      <c r="S7" s="1058">
        <v>2</v>
      </c>
      <c r="T7" s="1057" t="s">
        <v>197</v>
      </c>
      <c r="U7" s="1059"/>
      <c r="V7" s="1057" t="s">
        <v>37</v>
      </c>
      <c r="W7" s="1061">
        <v>0</v>
      </c>
      <c r="X7" s="1059"/>
      <c r="Y7" s="1078" t="s">
        <v>274</v>
      </c>
      <c r="AA7" s="1033">
        <v>11.5</v>
      </c>
      <c r="AB7" s="1065"/>
      <c r="AC7" s="280" t="s">
        <v>231</v>
      </c>
      <c r="AD7" s="1002">
        <v>30</v>
      </c>
      <c r="AH7" s="585" t="s">
        <v>460</v>
      </c>
      <c r="AI7" s="212">
        <v>3.75</v>
      </c>
      <c r="AJ7" s="1069" t="s">
        <v>774</v>
      </c>
      <c r="AK7" s="1070" t="s">
        <v>775</v>
      </c>
      <c r="AL7" s="1070" t="s">
        <v>380</v>
      </c>
      <c r="AM7" s="1071">
        <v>0</v>
      </c>
      <c r="AN7" s="1070">
        <v>0</v>
      </c>
      <c r="AO7" s="1070">
        <v>0</v>
      </c>
      <c r="AP7" s="1070"/>
      <c r="AQ7" s="1072" t="s">
        <v>758</v>
      </c>
      <c r="AR7" s="1072" t="s">
        <v>776</v>
      </c>
      <c r="AS7" s="1072" t="s">
        <v>776</v>
      </c>
      <c r="AU7" s="1072" t="s">
        <v>169</v>
      </c>
    </row>
    <row r="8" spans="2:48" ht="15" customHeight="1" x14ac:dyDescent="0.2">
      <c r="B8" s="1039">
        <f t="shared" si="0"/>
        <v>5</v>
      </c>
      <c r="C8" s="1056"/>
      <c r="D8" s="1057" t="s">
        <v>832</v>
      </c>
      <c r="E8" s="1058">
        <v>0</v>
      </c>
      <c r="F8" s="141" t="s">
        <v>171</v>
      </c>
      <c r="G8" s="1059"/>
      <c r="H8" s="1060" t="s">
        <v>90</v>
      </c>
      <c r="I8" s="1061" t="s">
        <v>115</v>
      </c>
      <c r="J8" s="1062"/>
      <c r="K8" s="1060"/>
      <c r="L8" s="1060"/>
      <c r="M8" s="1062"/>
      <c r="N8" s="1057" t="s">
        <v>176</v>
      </c>
      <c r="O8" s="1079">
        <v>54</v>
      </c>
      <c r="P8" s="1058">
        <v>1</v>
      </c>
      <c r="R8" s="1058" t="s">
        <v>20</v>
      </c>
      <c r="S8" s="1058">
        <v>2</v>
      </c>
      <c r="T8" s="1057" t="s">
        <v>198</v>
      </c>
      <c r="U8" s="1059"/>
      <c r="V8" s="1057" t="s">
        <v>57</v>
      </c>
      <c r="W8" s="1061">
        <v>0</v>
      </c>
      <c r="X8" s="1059"/>
      <c r="Y8" s="1009" t="s">
        <v>273</v>
      </c>
      <c r="AA8" s="1033">
        <v>12.5</v>
      </c>
      <c r="AB8" s="1065"/>
      <c r="AC8" s="280" t="s">
        <v>232</v>
      </c>
      <c r="AD8" s="1002">
        <v>18.5</v>
      </c>
      <c r="AH8" s="585" t="s">
        <v>461</v>
      </c>
      <c r="AI8" s="212">
        <v>3.75</v>
      </c>
      <c r="AJ8" s="1069" t="s">
        <v>777</v>
      </c>
      <c r="AK8" s="1071" t="s">
        <v>778</v>
      </c>
      <c r="AL8" s="1071" t="s">
        <v>169</v>
      </c>
      <c r="AM8" s="1071">
        <v>0</v>
      </c>
      <c r="AN8" s="1070">
        <v>0</v>
      </c>
      <c r="AO8" s="1071">
        <v>0</v>
      </c>
      <c r="AP8" s="1071"/>
      <c r="AQ8" s="1072" t="s">
        <v>769</v>
      </c>
      <c r="AR8" s="1072" t="s">
        <v>779</v>
      </c>
      <c r="AS8" s="1072" t="s">
        <v>779</v>
      </c>
      <c r="AU8" s="1072" t="s">
        <v>780</v>
      </c>
    </row>
    <row r="9" spans="2:48" ht="15" customHeight="1" x14ac:dyDescent="0.2">
      <c r="B9" s="1039">
        <f t="shared" si="0"/>
        <v>6</v>
      </c>
      <c r="C9" s="1056"/>
      <c r="D9" s="1057" t="s">
        <v>839</v>
      </c>
      <c r="E9" s="1058">
        <v>0</v>
      </c>
      <c r="F9" s="1059" t="s">
        <v>170</v>
      </c>
      <c r="G9" s="1059"/>
      <c r="H9" s="1060" t="s">
        <v>91</v>
      </c>
      <c r="I9" s="1061" t="s">
        <v>115</v>
      </c>
      <c r="J9" s="1062"/>
      <c r="K9" s="1060"/>
      <c r="L9" s="1060"/>
      <c r="M9" s="1062"/>
      <c r="N9" s="1057" t="s">
        <v>177</v>
      </c>
      <c r="O9" s="1079">
        <v>54</v>
      </c>
      <c r="P9" s="1058">
        <v>1</v>
      </c>
      <c r="R9" s="1058" t="s">
        <v>21</v>
      </c>
      <c r="S9" s="1058">
        <v>2</v>
      </c>
      <c r="T9" s="1057" t="s">
        <v>200</v>
      </c>
      <c r="U9" s="1059"/>
      <c r="V9" s="1057" t="s">
        <v>47</v>
      </c>
      <c r="W9" s="1061">
        <v>0</v>
      </c>
      <c r="X9" s="1059"/>
      <c r="Y9" s="1009" t="s">
        <v>212</v>
      </c>
      <c r="AA9" s="1033">
        <v>15</v>
      </c>
      <c r="AB9" s="1065"/>
      <c r="AC9" s="280" t="s">
        <v>233</v>
      </c>
      <c r="AD9" s="1002">
        <v>24</v>
      </c>
      <c r="AH9" s="1072" t="s">
        <v>469</v>
      </c>
      <c r="AI9" s="212">
        <v>3.75</v>
      </c>
      <c r="AJ9" s="1069" t="s">
        <v>781</v>
      </c>
      <c r="AK9" s="1071" t="s">
        <v>778</v>
      </c>
      <c r="AL9" s="1071" t="s">
        <v>169</v>
      </c>
      <c r="AM9" s="1071">
        <v>0</v>
      </c>
      <c r="AN9" s="1070">
        <v>0</v>
      </c>
      <c r="AO9" s="1071">
        <v>0</v>
      </c>
      <c r="AP9" s="1071"/>
      <c r="AQ9" s="1072" t="s">
        <v>782</v>
      </c>
      <c r="AR9" s="1072" t="s">
        <v>783</v>
      </c>
      <c r="AS9" s="1072" t="s">
        <v>783</v>
      </c>
      <c r="AU9" s="1072" t="s">
        <v>784</v>
      </c>
    </row>
    <row r="10" spans="2:48" ht="15" customHeight="1" x14ac:dyDescent="0.2">
      <c r="B10" s="1039">
        <f t="shared" si="0"/>
        <v>7</v>
      </c>
      <c r="C10" s="1056"/>
      <c r="D10" s="1057" t="s">
        <v>845</v>
      </c>
      <c r="E10" s="1058">
        <v>0</v>
      </c>
      <c r="F10" s="1059" t="s">
        <v>170</v>
      </c>
      <c r="G10" s="1059"/>
      <c r="H10" s="1060" t="s">
        <v>92</v>
      </c>
      <c r="I10" s="1061" t="s">
        <v>115</v>
      </c>
      <c r="J10" s="1062"/>
      <c r="K10" s="1060"/>
      <c r="L10" s="1060"/>
      <c r="M10" s="1062"/>
      <c r="N10" s="1057" t="s">
        <v>183</v>
      </c>
      <c r="O10" s="1079">
        <v>68</v>
      </c>
      <c r="P10" s="1058">
        <v>1</v>
      </c>
      <c r="R10" s="1058" t="s">
        <v>22</v>
      </c>
      <c r="S10" s="1058">
        <v>3</v>
      </c>
      <c r="T10" s="1058"/>
      <c r="U10" s="1059"/>
      <c r="V10" s="1057" t="s">
        <v>334</v>
      </c>
      <c r="W10" s="1010">
        <v>0</v>
      </c>
      <c r="X10" s="1059"/>
      <c r="Y10" s="1009" t="s">
        <v>221</v>
      </c>
      <c r="AA10" s="1033">
        <v>18.5</v>
      </c>
      <c r="AB10" s="1065"/>
      <c r="AC10" s="280" t="s">
        <v>330</v>
      </c>
      <c r="AD10" s="1002">
        <v>24</v>
      </c>
      <c r="AH10" s="1072" t="s">
        <v>470</v>
      </c>
      <c r="AI10" s="212">
        <v>3.75</v>
      </c>
      <c r="AJ10" s="1069" t="s">
        <v>785</v>
      </c>
      <c r="AK10" s="1071" t="s">
        <v>785</v>
      </c>
      <c r="AL10" s="1071" t="s">
        <v>169</v>
      </c>
      <c r="AM10" s="1071">
        <v>37.5</v>
      </c>
      <c r="AN10" s="1070">
        <v>37.51</v>
      </c>
      <c r="AO10" s="1071">
        <v>18.75</v>
      </c>
      <c r="AP10" s="1071"/>
      <c r="AQ10" s="1072" t="s">
        <v>758</v>
      </c>
      <c r="AR10" s="1073" t="s">
        <v>786</v>
      </c>
      <c r="AS10" s="1073" t="s">
        <v>786</v>
      </c>
      <c r="AU10" s="1072" t="s">
        <v>787</v>
      </c>
    </row>
    <row r="11" spans="2:48" ht="15" customHeight="1" thickBot="1" x14ac:dyDescent="0.25">
      <c r="B11" s="1039">
        <f t="shared" si="0"/>
        <v>8</v>
      </c>
      <c r="C11" s="1056"/>
      <c r="D11" s="1057" t="s">
        <v>837</v>
      </c>
      <c r="E11" s="1058">
        <v>32</v>
      </c>
      <c r="F11" s="141" t="s">
        <v>171</v>
      </c>
      <c r="G11" s="1059"/>
      <c r="H11" s="1060" t="s">
        <v>93</v>
      </c>
      <c r="I11" s="1061" t="s">
        <v>115</v>
      </c>
      <c r="J11" s="1062"/>
      <c r="K11" s="1060"/>
      <c r="L11" s="1060"/>
      <c r="M11" s="1062"/>
      <c r="N11" s="1057" t="s">
        <v>182</v>
      </c>
      <c r="O11" s="1079">
        <v>68</v>
      </c>
      <c r="P11" s="1058">
        <v>1</v>
      </c>
      <c r="R11" s="1058" t="s">
        <v>23</v>
      </c>
      <c r="S11" s="1058">
        <v>3</v>
      </c>
      <c r="T11" s="1058"/>
      <c r="U11" s="1059"/>
      <c r="V11" s="1057" t="s">
        <v>333</v>
      </c>
      <c r="W11" s="1010">
        <v>5.5</v>
      </c>
      <c r="X11" s="1059"/>
      <c r="Y11" s="284" t="s">
        <v>228</v>
      </c>
      <c r="AA11" s="1033">
        <v>11.5</v>
      </c>
      <c r="AB11" s="1065"/>
      <c r="AC11" s="280" t="s">
        <v>234</v>
      </c>
      <c r="AD11" s="1002">
        <v>15</v>
      </c>
      <c r="AH11" s="585" t="s">
        <v>462</v>
      </c>
      <c r="AI11" s="212">
        <v>3.75</v>
      </c>
      <c r="AJ11" s="1069" t="s">
        <v>788</v>
      </c>
      <c r="AK11" s="1071" t="s">
        <v>758</v>
      </c>
      <c r="AL11" s="1071" t="s">
        <v>380</v>
      </c>
      <c r="AM11" s="1071">
        <v>0</v>
      </c>
      <c r="AN11" s="1070">
        <v>0</v>
      </c>
      <c r="AO11" s="1071">
        <v>0</v>
      </c>
      <c r="AP11" s="1071"/>
      <c r="AQ11" s="1072" t="s">
        <v>763</v>
      </c>
      <c r="AU11" s="1072" t="s">
        <v>789</v>
      </c>
    </row>
    <row r="12" spans="2:48" ht="15" customHeight="1" x14ac:dyDescent="0.2">
      <c r="B12" s="1039">
        <f t="shared" si="0"/>
        <v>9</v>
      </c>
      <c r="C12" s="1056"/>
      <c r="D12" s="1057" t="s">
        <v>840</v>
      </c>
      <c r="E12" s="1058">
        <v>32</v>
      </c>
      <c r="F12" s="1059" t="s">
        <v>170</v>
      </c>
      <c r="G12" s="1059"/>
      <c r="H12" s="1060" t="s">
        <v>94</v>
      </c>
      <c r="I12" s="1061" t="s">
        <v>115</v>
      </c>
      <c r="J12" s="1062"/>
      <c r="K12" s="1060"/>
      <c r="L12" s="1060"/>
      <c r="M12" s="1062"/>
      <c r="N12" s="1057" t="s">
        <v>184</v>
      </c>
      <c r="O12" s="1079">
        <v>68</v>
      </c>
      <c r="P12" s="1058">
        <v>1</v>
      </c>
      <c r="R12" s="1058" t="s">
        <v>24</v>
      </c>
      <c r="S12" s="1058">
        <v>4</v>
      </c>
      <c r="T12" s="436" t="s">
        <v>307</v>
      </c>
      <c r="U12" s="1059"/>
      <c r="V12" s="1009" t="s">
        <v>58</v>
      </c>
      <c r="W12" s="1010">
        <v>11</v>
      </c>
      <c r="X12" s="1059"/>
      <c r="Y12" s="1009" t="s">
        <v>229</v>
      </c>
      <c r="AA12" s="1033">
        <v>15</v>
      </c>
      <c r="AB12" s="1065"/>
      <c r="AC12" s="280" t="s">
        <v>436</v>
      </c>
      <c r="AD12" s="1002">
        <v>15</v>
      </c>
      <c r="AH12" s="585" t="s">
        <v>463</v>
      </c>
      <c r="AI12" s="212">
        <v>3.75</v>
      </c>
      <c r="AP12" s="1071"/>
    </row>
    <row r="13" spans="2:48" ht="15" customHeight="1" x14ac:dyDescent="0.2">
      <c r="B13" s="1039">
        <f t="shared" si="0"/>
        <v>10</v>
      </c>
      <c r="C13" s="1056"/>
      <c r="D13" s="1057" t="s">
        <v>842</v>
      </c>
      <c r="E13" s="1058">
        <v>32</v>
      </c>
      <c r="F13" s="1059" t="s">
        <v>170</v>
      </c>
      <c r="G13" s="1059"/>
      <c r="H13" s="1060" t="s">
        <v>95</v>
      </c>
      <c r="I13" s="1061" t="s">
        <v>115</v>
      </c>
      <c r="J13" s="1062"/>
      <c r="K13" s="1060"/>
      <c r="L13" s="1060"/>
      <c r="M13" s="1062"/>
      <c r="N13" s="1057" t="s">
        <v>185</v>
      </c>
      <c r="O13" s="1079">
        <v>87</v>
      </c>
      <c r="P13" s="1058">
        <v>1</v>
      </c>
      <c r="R13" s="1057" t="s">
        <v>288</v>
      </c>
      <c r="S13" s="1057">
        <v>3</v>
      </c>
      <c r="T13" s="206" t="s">
        <v>195</v>
      </c>
      <c r="U13" s="1059"/>
      <c r="V13" s="1009" t="s">
        <v>730</v>
      </c>
      <c r="W13" s="1010">
        <v>9</v>
      </c>
      <c r="X13" s="1059"/>
      <c r="Y13" s="1009" t="s">
        <v>211</v>
      </c>
      <c r="AA13" s="1033">
        <v>18.5</v>
      </c>
      <c r="AB13" s="1065"/>
      <c r="AC13" s="280" t="s">
        <v>296</v>
      </c>
      <c r="AD13" s="1002">
        <v>0</v>
      </c>
      <c r="AH13" s="585" t="s">
        <v>241</v>
      </c>
      <c r="AI13" s="212">
        <v>3.75</v>
      </c>
      <c r="AP13" s="1071"/>
    </row>
    <row r="14" spans="2:48" ht="15" customHeight="1" x14ac:dyDescent="0.2">
      <c r="B14" s="1039">
        <f t="shared" si="0"/>
        <v>11</v>
      </c>
      <c r="C14" s="1056"/>
      <c r="D14" s="1057" t="s">
        <v>50</v>
      </c>
      <c r="E14" s="1058">
        <v>0</v>
      </c>
      <c r="F14" s="141" t="s">
        <v>171</v>
      </c>
      <c r="G14" s="1059"/>
      <c r="H14" s="1060" t="s">
        <v>96</v>
      </c>
      <c r="I14" s="1061" t="s">
        <v>115</v>
      </c>
      <c r="J14" s="1062"/>
      <c r="K14" s="1060"/>
      <c r="L14" s="1060"/>
      <c r="M14" s="1062"/>
      <c r="N14" s="1057" t="s">
        <v>186</v>
      </c>
      <c r="O14" s="1079">
        <v>87</v>
      </c>
      <c r="P14" s="1058">
        <v>1</v>
      </c>
      <c r="R14" s="1057" t="s">
        <v>289</v>
      </c>
      <c r="S14" s="1057">
        <v>3</v>
      </c>
      <c r="T14" s="207" t="s">
        <v>196</v>
      </c>
      <c r="U14" s="1059"/>
      <c r="V14" s="1009" t="s">
        <v>731</v>
      </c>
      <c r="W14" s="1010">
        <v>9</v>
      </c>
      <c r="X14" s="1059"/>
      <c r="Y14" s="1009" t="s">
        <v>829</v>
      </c>
      <c r="AA14" s="1033">
        <v>22</v>
      </c>
      <c r="AB14" s="1058"/>
      <c r="AC14" s="1080"/>
      <c r="AH14" s="585" t="s">
        <v>240</v>
      </c>
      <c r="AI14" s="212">
        <v>7</v>
      </c>
      <c r="AP14" s="1071"/>
    </row>
    <row r="15" spans="2:48" ht="15" customHeight="1" x14ac:dyDescent="0.2">
      <c r="B15" s="1039">
        <f t="shared" si="0"/>
        <v>12</v>
      </c>
      <c r="C15" s="1056"/>
      <c r="D15" s="1057" t="s">
        <v>300</v>
      </c>
      <c r="E15" s="1058">
        <v>0</v>
      </c>
      <c r="F15" s="1059" t="s">
        <v>170</v>
      </c>
      <c r="G15" s="1059"/>
      <c r="H15" s="1060" t="s">
        <v>97</v>
      </c>
      <c r="I15" s="1061" t="s">
        <v>115</v>
      </c>
      <c r="J15" s="1062"/>
      <c r="K15" s="1060"/>
      <c r="L15" s="1060"/>
      <c r="M15" s="1062"/>
      <c r="N15" s="1057" t="s">
        <v>187</v>
      </c>
      <c r="O15" s="1079">
        <v>87</v>
      </c>
      <c r="P15" s="1058">
        <v>1</v>
      </c>
      <c r="R15" s="1058" t="s">
        <v>32</v>
      </c>
      <c r="S15" s="1058">
        <v>4</v>
      </c>
      <c r="T15" s="207" t="s">
        <v>197</v>
      </c>
      <c r="U15" s="1059"/>
      <c r="V15" s="1011" t="s">
        <v>732</v>
      </c>
      <c r="W15" s="1010">
        <v>9</v>
      </c>
      <c r="X15" s="1059"/>
      <c r="Y15" s="1081" t="s">
        <v>222</v>
      </c>
      <c r="AA15" s="1082">
        <v>15</v>
      </c>
      <c r="AB15" s="1083"/>
      <c r="AC15" s="1080"/>
      <c r="AH15" s="585" t="s">
        <v>464</v>
      </c>
      <c r="AI15" s="212">
        <v>7</v>
      </c>
    </row>
    <row r="16" spans="2:48" ht="15" customHeight="1" thickBot="1" x14ac:dyDescent="0.25">
      <c r="C16" s="1056"/>
      <c r="D16" s="1057" t="s">
        <v>729</v>
      </c>
      <c r="E16" s="1058">
        <v>0</v>
      </c>
      <c r="F16" s="1059" t="s">
        <v>170</v>
      </c>
      <c r="G16" s="1059"/>
      <c r="H16" s="1060" t="s">
        <v>98</v>
      </c>
      <c r="I16" s="1061" t="s">
        <v>115</v>
      </c>
      <c r="J16" s="1062"/>
      <c r="K16" s="1060"/>
      <c r="L16" s="1060"/>
      <c r="M16" s="1062"/>
      <c r="N16" s="1057" t="s">
        <v>342</v>
      </c>
      <c r="O16" s="1010">
        <v>54</v>
      </c>
      <c r="P16" s="1057">
        <v>1</v>
      </c>
      <c r="R16" s="1058" t="s">
        <v>33</v>
      </c>
      <c r="S16" s="1058">
        <v>4</v>
      </c>
      <c r="T16" s="207" t="s">
        <v>198</v>
      </c>
      <c r="U16" s="1059"/>
      <c r="V16" s="1009" t="s">
        <v>734</v>
      </c>
      <c r="W16" s="1010">
        <v>9</v>
      </c>
      <c r="X16" s="1084"/>
      <c r="Y16" s="1085" t="s">
        <v>354</v>
      </c>
      <c r="Z16" s="1086"/>
      <c r="AA16" s="1087">
        <v>18.5</v>
      </c>
      <c r="AB16" s="1088">
        <v>70</v>
      </c>
      <c r="AC16" s="1080"/>
      <c r="AH16" s="585" t="s">
        <v>465</v>
      </c>
      <c r="AI16" s="212">
        <v>7</v>
      </c>
    </row>
    <row r="17" spans="3:35" ht="15" customHeight="1" x14ac:dyDescent="0.2">
      <c r="C17" s="1056"/>
      <c r="D17" s="1057" t="s">
        <v>282</v>
      </c>
      <c r="E17" s="1058">
        <v>32</v>
      </c>
      <c r="F17" s="141" t="s">
        <v>171</v>
      </c>
      <c r="G17" s="1059"/>
      <c r="H17" s="1060" t="s">
        <v>99</v>
      </c>
      <c r="I17" s="1061" t="s">
        <v>115</v>
      </c>
      <c r="J17" s="1062"/>
      <c r="K17" s="1060"/>
      <c r="L17" s="1060"/>
      <c r="M17" s="1062"/>
      <c r="N17" s="1057" t="s">
        <v>343</v>
      </c>
      <c r="O17" s="1010">
        <v>54</v>
      </c>
      <c r="P17" s="1057">
        <v>1</v>
      </c>
      <c r="R17" s="1058" t="s">
        <v>134</v>
      </c>
      <c r="S17" s="1058">
        <v>4</v>
      </c>
      <c r="T17" s="1044" t="s">
        <v>308</v>
      </c>
      <c r="U17" s="1059"/>
      <c r="V17" s="1009" t="s">
        <v>736</v>
      </c>
      <c r="W17" s="1010">
        <v>9</v>
      </c>
      <c r="X17" s="1084"/>
      <c r="Y17" s="1085" t="s">
        <v>355</v>
      </c>
      <c r="Z17" s="1086"/>
      <c r="AA17" s="1087">
        <v>18.5</v>
      </c>
      <c r="AB17" s="1088">
        <v>70</v>
      </c>
      <c r="AC17" s="1080"/>
      <c r="AH17" s="212" t="s">
        <v>239</v>
      </c>
      <c r="AI17" s="212">
        <v>7475</v>
      </c>
    </row>
    <row r="18" spans="3:35" ht="15" customHeight="1" x14ac:dyDescent="0.2">
      <c r="C18" s="1056"/>
      <c r="D18" s="1057" t="s">
        <v>656</v>
      </c>
      <c r="E18" s="1058">
        <v>32</v>
      </c>
      <c r="F18" s="1059" t="s">
        <v>170</v>
      </c>
      <c r="G18" s="1059"/>
      <c r="H18" s="1060" t="s">
        <v>790</v>
      </c>
      <c r="I18" s="1061" t="s">
        <v>115</v>
      </c>
      <c r="J18" s="1062"/>
      <c r="K18" s="1060"/>
      <c r="L18" s="1060"/>
      <c r="M18" s="1062"/>
      <c r="N18" s="1057" t="s">
        <v>344</v>
      </c>
      <c r="O18" s="1010">
        <v>54</v>
      </c>
      <c r="P18" s="1057">
        <v>1</v>
      </c>
      <c r="R18" s="1058" t="s">
        <v>135</v>
      </c>
      <c r="S18" s="1058">
        <v>4</v>
      </c>
      <c r="T18" s="1057" t="s">
        <v>197</v>
      </c>
      <c r="U18" s="1059"/>
      <c r="V18" s="1009" t="s">
        <v>737</v>
      </c>
      <c r="W18" s="1010">
        <v>9</v>
      </c>
      <c r="X18" s="1084"/>
      <c r="Y18" s="1089" t="s">
        <v>356</v>
      </c>
      <c r="Z18" s="1090"/>
      <c r="AA18" s="1010">
        <v>18.5</v>
      </c>
      <c r="AB18" s="1091">
        <v>70</v>
      </c>
      <c r="AC18" s="1080"/>
      <c r="AH18" s="212" t="s">
        <v>467</v>
      </c>
      <c r="AI18" s="212">
        <v>4</v>
      </c>
    </row>
    <row r="19" spans="3:35" ht="15" customHeight="1" x14ac:dyDescent="0.2">
      <c r="C19" s="1056"/>
      <c r="D19" s="1057" t="s">
        <v>657</v>
      </c>
      <c r="E19" s="1058">
        <v>32</v>
      </c>
      <c r="F19" s="1059" t="s">
        <v>170</v>
      </c>
      <c r="G19" s="1059"/>
      <c r="H19" s="1060" t="s">
        <v>791</v>
      </c>
      <c r="I19" s="1061" t="s">
        <v>115</v>
      </c>
      <c r="J19" s="1062"/>
      <c r="K19" s="1060"/>
      <c r="L19" s="1060"/>
      <c r="M19" s="1062"/>
      <c r="N19" s="1057" t="s">
        <v>132</v>
      </c>
      <c r="O19" s="1057" t="s">
        <v>115</v>
      </c>
      <c r="P19" s="1058">
        <v>1</v>
      </c>
      <c r="R19" s="1058" t="s">
        <v>124</v>
      </c>
      <c r="S19" s="1058">
        <v>5</v>
      </c>
      <c r="T19" s="1057" t="s">
        <v>198</v>
      </c>
      <c r="U19" s="1059"/>
      <c r="V19" s="1009" t="s">
        <v>738</v>
      </c>
      <c r="W19" s="1010">
        <v>9</v>
      </c>
      <c r="X19" s="1084"/>
      <c r="Y19" s="1089" t="s">
        <v>357</v>
      </c>
      <c r="Z19" s="1090"/>
      <c r="AA19" s="1010">
        <v>18.5</v>
      </c>
      <c r="AB19" s="1091">
        <v>70</v>
      </c>
      <c r="AC19" s="1080"/>
      <c r="AH19" s="212" t="s">
        <v>483</v>
      </c>
      <c r="AI19" s="212">
        <v>7</v>
      </c>
    </row>
    <row r="20" spans="3:35" ht="15" customHeight="1" x14ac:dyDescent="0.2">
      <c r="C20" s="1056"/>
      <c r="D20" s="1057" t="s">
        <v>75</v>
      </c>
      <c r="E20" s="1058">
        <v>0</v>
      </c>
      <c r="F20" s="141" t="s">
        <v>171</v>
      </c>
      <c r="G20" s="1059"/>
      <c r="H20" s="1060" t="s">
        <v>792</v>
      </c>
      <c r="I20" s="1061" t="s">
        <v>115</v>
      </c>
      <c r="J20" s="1062"/>
      <c r="K20" s="1060"/>
      <c r="L20" s="1060"/>
      <c r="M20" s="1062"/>
      <c r="N20" s="1058"/>
      <c r="O20" s="1057"/>
      <c r="P20" s="1058"/>
      <c r="R20" s="1058" t="s">
        <v>34</v>
      </c>
      <c r="S20" s="1058">
        <v>5</v>
      </c>
      <c r="T20" s="1058"/>
      <c r="U20" s="1059"/>
      <c r="V20" s="1009" t="s">
        <v>739</v>
      </c>
      <c r="W20" s="1010">
        <f>9+5.5</f>
        <v>14.5</v>
      </c>
      <c r="X20" s="1084"/>
      <c r="Y20" s="1089" t="s">
        <v>358</v>
      </c>
      <c r="Z20" s="1090"/>
      <c r="AA20" s="1010">
        <v>18.5</v>
      </c>
      <c r="AB20" s="1091">
        <v>70</v>
      </c>
      <c r="AC20" s="1080"/>
      <c r="AH20" s="212" t="s">
        <v>437</v>
      </c>
      <c r="AI20" s="212">
        <v>3.75</v>
      </c>
    </row>
    <row r="21" spans="3:35" ht="15" customHeight="1" thickBot="1" x14ac:dyDescent="0.25">
      <c r="C21" s="1056"/>
      <c r="D21" s="1057" t="s">
        <v>655</v>
      </c>
      <c r="E21" s="1058">
        <v>0</v>
      </c>
      <c r="F21" s="1059" t="s">
        <v>170</v>
      </c>
      <c r="G21" s="1059"/>
      <c r="H21" s="1060" t="s">
        <v>793</v>
      </c>
      <c r="I21" s="1061" t="s">
        <v>115</v>
      </c>
      <c r="J21" s="1062"/>
      <c r="K21" s="1060"/>
      <c r="L21" s="1060"/>
      <c r="M21" s="1062"/>
      <c r="N21" s="1058"/>
      <c r="O21" s="1057"/>
      <c r="P21" s="1058"/>
      <c r="R21" s="1058" t="s">
        <v>35</v>
      </c>
      <c r="S21" s="1058">
        <v>5</v>
      </c>
      <c r="T21" s="1058"/>
      <c r="U21" s="1059"/>
      <c r="V21" s="1057" t="s">
        <v>740</v>
      </c>
      <c r="W21" s="1010">
        <f>9+11</f>
        <v>20</v>
      </c>
      <c r="X21" s="1084"/>
      <c r="Y21" s="1089" t="s">
        <v>359</v>
      </c>
      <c r="Z21" s="1090"/>
      <c r="AA21" s="1010">
        <v>18.5</v>
      </c>
      <c r="AB21" s="1091">
        <v>70</v>
      </c>
      <c r="AC21" s="1080"/>
      <c r="AH21" s="212" t="s">
        <v>244</v>
      </c>
      <c r="AI21" s="1072">
        <v>7475</v>
      </c>
    </row>
    <row r="22" spans="3:35" ht="15" customHeight="1" x14ac:dyDescent="0.2">
      <c r="C22" s="1056"/>
      <c r="D22" s="1057" t="s">
        <v>733</v>
      </c>
      <c r="E22" s="1058">
        <v>0</v>
      </c>
      <c r="F22" s="1059" t="s">
        <v>170</v>
      </c>
      <c r="G22" s="1059"/>
      <c r="H22" s="1057" t="s">
        <v>488</v>
      </c>
      <c r="I22" s="1061" t="s">
        <v>115</v>
      </c>
      <c r="J22" s="1062"/>
      <c r="K22" s="1058"/>
      <c r="L22" s="1058"/>
      <c r="M22" s="1059"/>
      <c r="N22" s="1069" t="s">
        <v>759</v>
      </c>
      <c r="O22" s="1057">
        <v>0</v>
      </c>
      <c r="P22" s="1058"/>
      <c r="R22" s="1058" t="s">
        <v>125</v>
      </c>
      <c r="S22" s="1058">
        <v>5</v>
      </c>
      <c r="T22" s="1013" t="s">
        <v>529</v>
      </c>
      <c r="U22" s="1059"/>
      <c r="V22" s="1058"/>
      <c r="W22" s="1058"/>
      <c r="X22" s="1084"/>
      <c r="Y22" s="1089" t="s">
        <v>360</v>
      </c>
      <c r="Z22" s="1090"/>
      <c r="AA22" s="1010">
        <v>18.5</v>
      </c>
      <c r="AB22" s="1091">
        <v>70</v>
      </c>
      <c r="AC22" s="1080"/>
    </row>
    <row r="23" spans="3:35" ht="15" customHeight="1" x14ac:dyDescent="0.2">
      <c r="C23" s="1056"/>
      <c r="D23" s="1057" t="s">
        <v>283</v>
      </c>
      <c r="E23" s="1058">
        <v>32</v>
      </c>
      <c r="F23" s="141" t="s">
        <v>171</v>
      </c>
      <c r="G23" s="1059"/>
      <c r="H23" s="1057" t="s">
        <v>490</v>
      </c>
      <c r="I23" s="1061" t="s">
        <v>115</v>
      </c>
      <c r="J23" s="1062"/>
      <c r="K23" s="1058"/>
      <c r="L23" s="1058"/>
      <c r="M23" s="1059"/>
      <c r="N23" s="1075" t="s">
        <v>758</v>
      </c>
      <c r="O23" s="1057">
        <v>0</v>
      </c>
      <c r="P23" s="1058"/>
      <c r="Q23" s="1059"/>
      <c r="R23" s="1058" t="s">
        <v>124</v>
      </c>
      <c r="S23" s="1058">
        <v>5</v>
      </c>
      <c r="T23" s="1014" t="s">
        <v>195</v>
      </c>
      <c r="U23" s="1059"/>
      <c r="V23" s="1058"/>
      <c r="W23" s="1058"/>
      <c r="X23" s="1084"/>
      <c r="Y23" s="1089" t="s">
        <v>361</v>
      </c>
      <c r="Z23" s="1090"/>
      <c r="AA23" s="1010">
        <v>18.5</v>
      </c>
      <c r="AB23" s="1091">
        <v>70</v>
      </c>
      <c r="AC23" s="1080"/>
    </row>
    <row r="24" spans="3:35" ht="15" customHeight="1" x14ac:dyDescent="0.2">
      <c r="C24" s="1056"/>
      <c r="D24" s="1057" t="s">
        <v>658</v>
      </c>
      <c r="E24" s="1058">
        <v>32</v>
      </c>
      <c r="F24" s="1059" t="s">
        <v>170</v>
      </c>
      <c r="G24" s="1059"/>
      <c r="H24" s="1060"/>
      <c r="I24" s="1061"/>
      <c r="J24" s="1062"/>
      <c r="K24" s="1058"/>
      <c r="L24" s="1058"/>
      <c r="M24" s="1059"/>
      <c r="N24" s="1069" t="s">
        <v>768</v>
      </c>
      <c r="O24" s="1057">
        <v>0</v>
      </c>
      <c r="P24" s="1058"/>
      <c r="Q24" s="1059"/>
      <c r="R24" s="1058" t="s">
        <v>126</v>
      </c>
      <c r="S24" s="1058">
        <v>6</v>
      </c>
      <c r="T24" s="1014" t="s">
        <v>197</v>
      </c>
      <c r="U24" s="1059"/>
      <c r="V24" s="1058"/>
      <c r="W24" s="1058"/>
      <c r="X24" s="1059"/>
      <c r="Y24" s="1089" t="s">
        <v>362</v>
      </c>
      <c r="Z24" s="1090"/>
      <c r="AA24" s="1010">
        <v>18.5</v>
      </c>
      <c r="AB24" s="1091">
        <v>70</v>
      </c>
      <c r="AC24" s="1080"/>
    </row>
    <row r="25" spans="3:35" ht="15" customHeight="1" x14ac:dyDescent="0.2">
      <c r="C25" s="1056"/>
      <c r="D25" s="1057" t="s">
        <v>659</v>
      </c>
      <c r="E25" s="1058">
        <v>32</v>
      </c>
      <c r="F25" s="1059" t="s">
        <v>170</v>
      </c>
      <c r="G25" s="1059"/>
      <c r="H25" s="1073" t="s">
        <v>794</v>
      </c>
      <c r="I25" s="1061"/>
      <c r="J25" s="1062"/>
      <c r="K25" s="1058"/>
      <c r="L25" s="1058"/>
      <c r="M25" s="1059"/>
      <c r="N25" s="1069" t="s">
        <v>774</v>
      </c>
      <c r="O25" s="1057">
        <v>0</v>
      </c>
      <c r="P25" s="1058"/>
      <c r="Q25" s="1059"/>
      <c r="R25" s="1058" t="s">
        <v>36</v>
      </c>
      <c r="S25" s="1058">
        <v>6</v>
      </c>
      <c r="T25" s="1014" t="s">
        <v>492</v>
      </c>
      <c r="U25" s="1059"/>
      <c r="V25" s="1058"/>
      <c r="W25" s="1058"/>
      <c r="X25" s="1059"/>
      <c r="Y25" s="1089" t="s">
        <v>363</v>
      </c>
      <c r="Z25" s="1090"/>
      <c r="AA25" s="1010">
        <v>18.5</v>
      </c>
      <c r="AB25" s="1091">
        <v>70</v>
      </c>
      <c r="AC25" s="1080"/>
    </row>
    <row r="26" spans="3:35" ht="15" customHeight="1" x14ac:dyDescent="0.2">
      <c r="C26" s="1056"/>
      <c r="D26" s="1057" t="s">
        <v>741</v>
      </c>
      <c r="E26" s="1058">
        <v>42</v>
      </c>
      <c r="F26" s="141" t="s">
        <v>171</v>
      </c>
      <c r="G26" s="1059"/>
      <c r="H26" s="1058" t="s">
        <v>795</v>
      </c>
      <c r="I26" s="1061">
        <v>300</v>
      </c>
      <c r="J26" s="1062"/>
      <c r="K26" s="1058"/>
      <c r="L26" s="1058"/>
      <c r="M26" s="1059"/>
      <c r="N26" s="1069" t="s">
        <v>777</v>
      </c>
      <c r="O26" s="1057">
        <v>0</v>
      </c>
      <c r="P26" s="1058"/>
      <c r="Q26" s="1059"/>
      <c r="R26" s="1058" t="s">
        <v>127</v>
      </c>
      <c r="S26" s="1058">
        <v>6</v>
      </c>
      <c r="T26" s="1058"/>
      <c r="U26" s="1059"/>
      <c r="V26" s="1058"/>
      <c r="W26" s="1058"/>
      <c r="X26" s="1059"/>
      <c r="Y26" s="1089" t="s">
        <v>364</v>
      </c>
      <c r="Z26" s="1090"/>
      <c r="AA26" s="1010">
        <v>18.5</v>
      </c>
      <c r="AB26" s="1091">
        <v>70</v>
      </c>
      <c r="AC26" s="1080"/>
    </row>
    <row r="27" spans="3:35" ht="15" customHeight="1" x14ac:dyDescent="0.2">
      <c r="C27" s="1056"/>
      <c r="D27" s="1057" t="s">
        <v>82</v>
      </c>
      <c r="E27" s="1058">
        <v>18</v>
      </c>
      <c r="F27" s="1059" t="s">
        <v>169</v>
      </c>
      <c r="G27" s="1059"/>
      <c r="H27" s="1058" t="s">
        <v>796</v>
      </c>
      <c r="I27" s="1061">
        <v>300</v>
      </c>
      <c r="J27" s="1062"/>
      <c r="K27" s="1058"/>
      <c r="L27" s="1058"/>
      <c r="M27" s="1059"/>
      <c r="N27" s="1069" t="s">
        <v>781</v>
      </c>
      <c r="O27" s="1057">
        <v>0</v>
      </c>
      <c r="P27" s="1058"/>
      <c r="Q27" s="1059"/>
      <c r="R27" s="1058" t="s">
        <v>128</v>
      </c>
      <c r="S27" s="1058">
        <v>7</v>
      </c>
      <c r="T27" s="1058"/>
      <c r="U27" s="1059"/>
      <c r="V27" s="1058"/>
      <c r="W27" s="1058"/>
      <c r="X27" s="1059"/>
      <c r="Y27" s="1089" t="s">
        <v>365</v>
      </c>
      <c r="Z27" s="1090"/>
      <c r="AA27" s="1010">
        <v>18.5</v>
      </c>
      <c r="AB27" s="1091">
        <v>70</v>
      </c>
      <c r="AC27" s="1080"/>
    </row>
    <row r="28" spans="3:35" ht="15" customHeight="1" x14ac:dyDescent="0.2">
      <c r="C28" s="1056"/>
      <c r="D28" s="1057" t="s">
        <v>797</v>
      </c>
      <c r="E28" s="1058">
        <v>29</v>
      </c>
      <c r="F28" s="1059" t="s">
        <v>169</v>
      </c>
      <c r="G28" s="1059"/>
      <c r="H28" s="1058" t="s">
        <v>798</v>
      </c>
      <c r="I28" s="1061">
        <v>300</v>
      </c>
      <c r="J28" s="1062"/>
      <c r="K28" s="1058"/>
      <c r="L28" s="1058"/>
      <c r="M28" s="1059"/>
      <c r="N28" s="1069" t="s">
        <v>785</v>
      </c>
      <c r="O28" s="1057">
        <v>0</v>
      </c>
      <c r="P28" s="1058"/>
      <c r="Q28" s="1059"/>
      <c r="R28" s="1058" t="s">
        <v>129</v>
      </c>
      <c r="S28" s="1058">
        <v>7</v>
      </c>
      <c r="T28" s="1058"/>
      <c r="U28" s="1059"/>
      <c r="V28" s="1058"/>
      <c r="W28" s="1058"/>
      <c r="X28" s="1059"/>
      <c r="Y28" s="1089" t="s">
        <v>366</v>
      </c>
      <c r="Z28" s="1090"/>
      <c r="AA28" s="1010">
        <v>18.5</v>
      </c>
      <c r="AB28" s="1091">
        <v>70</v>
      </c>
      <c r="AC28" s="1080"/>
    </row>
    <row r="29" spans="3:35" ht="15" customHeight="1" x14ac:dyDescent="0.2">
      <c r="C29" s="1056"/>
      <c r="D29" s="1057" t="s">
        <v>316</v>
      </c>
      <c r="E29" s="1058">
        <v>19</v>
      </c>
      <c r="F29" s="1059" t="s">
        <v>735</v>
      </c>
      <c r="G29" s="1059"/>
      <c r="H29" s="1058" t="s">
        <v>799</v>
      </c>
      <c r="I29" s="1061">
        <v>300</v>
      </c>
      <c r="J29" s="1092">
        <v>1</v>
      </c>
      <c r="L29" s="1058"/>
      <c r="M29" s="1059"/>
      <c r="N29" s="1069" t="s">
        <v>788</v>
      </c>
      <c r="O29" s="1057">
        <v>0</v>
      </c>
      <c r="P29" s="1058"/>
      <c r="Q29" s="1059"/>
      <c r="R29" s="1058" t="s">
        <v>130</v>
      </c>
      <c r="S29" s="1058">
        <v>8</v>
      </c>
      <c r="T29" s="1058"/>
      <c r="U29" s="1059"/>
      <c r="V29" s="1058"/>
      <c r="W29" s="1058"/>
      <c r="X29" s="1059"/>
      <c r="Y29" s="1089" t="s">
        <v>367</v>
      </c>
      <c r="Z29" s="1090"/>
      <c r="AA29" s="1010">
        <v>18.5</v>
      </c>
      <c r="AB29" s="1091">
        <v>70</v>
      </c>
      <c r="AC29" s="1080"/>
    </row>
    <row r="30" spans="3:35" ht="15" customHeight="1" x14ac:dyDescent="0.2">
      <c r="C30" s="1056"/>
      <c r="D30" s="1057" t="s">
        <v>317</v>
      </c>
      <c r="E30" s="1058">
        <v>19</v>
      </c>
      <c r="F30" s="1059" t="s">
        <v>735</v>
      </c>
      <c r="G30" s="1059"/>
      <c r="H30" s="1058" t="s">
        <v>800</v>
      </c>
      <c r="I30" s="1061">
        <v>300</v>
      </c>
      <c r="J30" s="1092">
        <v>1</v>
      </c>
      <c r="L30" s="1058"/>
      <c r="M30" s="1059"/>
      <c r="N30" s="1058"/>
      <c r="O30" s="1057"/>
      <c r="P30" s="1058"/>
      <c r="Q30" s="1059"/>
      <c r="R30" s="1058"/>
      <c r="S30" s="1058"/>
      <c r="T30" s="1058"/>
      <c r="U30" s="1059"/>
      <c r="V30" s="1058"/>
      <c r="W30" s="1058"/>
      <c r="X30" s="1059"/>
      <c r="Y30" s="1093" t="s">
        <v>368</v>
      </c>
      <c r="Z30" s="1094"/>
      <c r="AA30" s="1095">
        <v>18.5</v>
      </c>
      <c r="AB30" s="1096">
        <v>70</v>
      </c>
      <c r="AC30" s="1080"/>
    </row>
    <row r="31" spans="3:35" ht="15" customHeight="1" x14ac:dyDescent="0.2">
      <c r="C31" s="1056"/>
      <c r="D31" s="1057" t="s">
        <v>835</v>
      </c>
      <c r="E31" s="1058">
        <v>19</v>
      </c>
      <c r="F31" s="1059" t="s">
        <v>735</v>
      </c>
      <c r="G31" s="1059"/>
      <c r="H31" s="1058" t="s">
        <v>801</v>
      </c>
      <c r="I31" s="1061">
        <v>300</v>
      </c>
      <c r="J31" s="1092">
        <v>1</v>
      </c>
      <c r="L31" s="1058"/>
      <c r="M31" s="1059"/>
      <c r="N31" s="1058"/>
      <c r="O31" s="1057"/>
      <c r="P31" s="1058"/>
      <c r="Q31" s="1059"/>
      <c r="R31" s="1058"/>
      <c r="S31" s="1058"/>
      <c r="T31" s="1058"/>
      <c r="U31" s="1059"/>
      <c r="V31" s="1058"/>
      <c r="W31" s="1058"/>
      <c r="X31" s="1059"/>
      <c r="Y31" s="1093" t="s">
        <v>369</v>
      </c>
      <c r="Z31" s="1094"/>
      <c r="AA31" s="1095">
        <v>18.5</v>
      </c>
      <c r="AB31" s="1096">
        <v>70</v>
      </c>
      <c r="AC31" s="1080"/>
    </row>
    <row r="32" spans="3:35" ht="15" customHeight="1" x14ac:dyDescent="0.2">
      <c r="C32" s="1056"/>
      <c r="D32" s="1057" t="s">
        <v>836</v>
      </c>
      <c r="E32" s="1058">
        <v>19</v>
      </c>
      <c r="F32" s="1059" t="s">
        <v>735</v>
      </c>
      <c r="G32" s="1059"/>
      <c r="H32" s="1058" t="s">
        <v>802</v>
      </c>
      <c r="I32" s="1061">
        <v>300</v>
      </c>
      <c r="J32" s="1092">
        <v>1</v>
      </c>
      <c r="L32" s="1058"/>
      <c r="M32" s="1059"/>
      <c r="N32" s="1058"/>
      <c r="O32" s="1057"/>
      <c r="P32" s="1058"/>
      <c r="Q32" s="1059"/>
      <c r="R32" s="1058"/>
      <c r="S32" s="1058"/>
      <c r="T32" s="1058"/>
      <c r="U32" s="1059"/>
      <c r="V32" s="1058"/>
      <c r="W32" s="1058"/>
      <c r="X32" s="1059"/>
      <c r="Y32" s="482" t="s">
        <v>178</v>
      </c>
      <c r="Z32" s="1033">
        <v>0</v>
      </c>
      <c r="AA32" s="1033">
        <v>0</v>
      </c>
      <c r="AB32" s="1097"/>
      <c r="AC32" s="1080"/>
    </row>
    <row r="33" spans="3:29" ht="15" customHeight="1" x14ac:dyDescent="0.2">
      <c r="C33" s="1056"/>
      <c r="D33" s="1057" t="s">
        <v>318</v>
      </c>
      <c r="E33" s="1058">
        <v>19</v>
      </c>
      <c r="F33" s="1059" t="s">
        <v>735</v>
      </c>
      <c r="G33" s="1059"/>
      <c r="H33" s="1058" t="s">
        <v>803</v>
      </c>
      <c r="I33" s="1061">
        <v>300</v>
      </c>
      <c r="J33" s="1092">
        <v>1</v>
      </c>
      <c r="L33" s="1058"/>
      <c r="M33" s="1059"/>
      <c r="N33" s="1058"/>
      <c r="O33" s="1057"/>
      <c r="P33" s="1058"/>
      <c r="Q33" s="1059"/>
      <c r="R33" s="1058"/>
      <c r="S33" s="1058"/>
      <c r="T33" s="1058"/>
      <c r="U33" s="1059"/>
      <c r="V33" s="1058"/>
      <c r="W33" s="1058"/>
      <c r="X33" s="1059"/>
      <c r="Y33" s="1098" t="s">
        <v>528</v>
      </c>
      <c r="Z33" s="1033">
        <v>14</v>
      </c>
      <c r="AA33" s="1033">
        <v>14</v>
      </c>
      <c r="AB33" s="1058"/>
      <c r="AC33" s="1080"/>
    </row>
    <row r="34" spans="3:29" ht="15" customHeight="1" thickBot="1" x14ac:dyDescent="0.25">
      <c r="C34" s="1056"/>
      <c r="D34" s="1057" t="s">
        <v>319</v>
      </c>
      <c r="E34" s="1058">
        <v>19</v>
      </c>
      <c r="F34" s="1059" t="s">
        <v>735</v>
      </c>
      <c r="G34" s="1059"/>
      <c r="H34" s="1058" t="s">
        <v>804</v>
      </c>
      <c r="I34" s="1061">
        <v>300</v>
      </c>
      <c r="J34" s="1092">
        <v>1</v>
      </c>
      <c r="L34" s="1058"/>
      <c r="M34" s="1059"/>
      <c r="N34" s="1058"/>
      <c r="O34" s="1057"/>
      <c r="P34" s="1058"/>
      <c r="Q34" s="1059"/>
      <c r="R34" s="1058"/>
      <c r="S34" s="1058"/>
      <c r="T34" s="1058"/>
      <c r="U34" s="1059"/>
      <c r="V34" s="1058"/>
      <c r="W34" s="1058"/>
      <c r="X34" s="1059"/>
      <c r="Y34" s="1098" t="s">
        <v>217</v>
      </c>
      <c r="Z34" s="1033">
        <v>16</v>
      </c>
      <c r="AA34" s="1033">
        <v>16</v>
      </c>
      <c r="AB34" s="1058"/>
      <c r="AC34" s="1080"/>
    </row>
    <row r="35" spans="3:29" ht="15" customHeight="1" x14ac:dyDescent="0.2">
      <c r="C35" s="1056"/>
      <c r="D35" s="1057" t="s">
        <v>320</v>
      </c>
      <c r="E35" s="1058">
        <v>19</v>
      </c>
      <c r="F35" s="1059" t="s">
        <v>735</v>
      </c>
      <c r="G35" s="1059"/>
      <c r="H35" s="1058" t="s">
        <v>805</v>
      </c>
      <c r="I35" s="1061">
        <v>281.25</v>
      </c>
      <c r="J35" s="1092">
        <v>1</v>
      </c>
      <c r="L35" s="1058"/>
      <c r="M35" s="1059"/>
      <c r="N35" s="1058"/>
      <c r="O35" s="1057"/>
      <c r="P35" s="1058"/>
      <c r="Q35" s="1059"/>
      <c r="R35" s="1044" t="s">
        <v>345</v>
      </c>
      <c r="S35" s="1044"/>
      <c r="T35" s="1058"/>
      <c r="U35" s="1059"/>
      <c r="V35" s="1058"/>
      <c r="W35" s="1058"/>
      <c r="X35" s="1059"/>
      <c r="Y35" s="1098" t="s">
        <v>179</v>
      </c>
      <c r="Z35" s="1033">
        <v>18.5</v>
      </c>
      <c r="AA35" s="1033">
        <v>18.5</v>
      </c>
      <c r="AB35" s="1058"/>
      <c r="AC35" s="1080"/>
    </row>
    <row r="36" spans="3:29" ht="15" customHeight="1" x14ac:dyDescent="0.2">
      <c r="C36" s="1056"/>
      <c r="D36" s="1057" t="s">
        <v>321</v>
      </c>
      <c r="E36" s="1058">
        <v>19</v>
      </c>
      <c r="F36" s="1059" t="s">
        <v>735</v>
      </c>
      <c r="G36" s="1059"/>
      <c r="H36" s="1058" t="s">
        <v>806</v>
      </c>
      <c r="I36" s="1061">
        <v>281.25</v>
      </c>
      <c r="J36" s="1092">
        <v>1</v>
      </c>
      <c r="L36" s="1058"/>
      <c r="M36" s="1059"/>
      <c r="N36" s="1058"/>
      <c r="O36" s="1057"/>
      <c r="P36" s="1058"/>
      <c r="Q36" s="1059"/>
      <c r="R36" s="1057" t="s">
        <v>346</v>
      </c>
      <c r="S36" s="1057">
        <v>4</v>
      </c>
      <c r="T36" s="1058"/>
      <c r="U36" s="1059"/>
      <c r="V36" s="1058"/>
      <c r="W36" s="1058"/>
      <c r="X36" s="1059"/>
      <c r="Y36" s="1098" t="s">
        <v>180</v>
      </c>
      <c r="Z36" s="1033">
        <v>22</v>
      </c>
      <c r="AA36" s="1033">
        <v>22</v>
      </c>
      <c r="AB36" s="1058"/>
      <c r="AC36" s="1080"/>
    </row>
    <row r="37" spans="3:29" ht="15" customHeight="1" x14ac:dyDescent="0.2">
      <c r="D37" s="1057" t="s">
        <v>312</v>
      </c>
      <c r="E37" s="1058">
        <v>19</v>
      </c>
      <c r="F37" s="1059" t="s">
        <v>735</v>
      </c>
      <c r="G37" s="1059"/>
      <c r="H37" s="1058" t="s">
        <v>807</v>
      </c>
      <c r="I37" s="1061">
        <v>281.25</v>
      </c>
      <c r="J37" s="1092">
        <v>1</v>
      </c>
      <c r="L37" s="1058"/>
      <c r="M37" s="1059"/>
      <c r="N37" s="1058"/>
      <c r="O37" s="1057"/>
      <c r="P37" s="1058"/>
      <c r="Q37" s="1059"/>
      <c r="R37" s="1057" t="s">
        <v>347</v>
      </c>
      <c r="S37" s="1057">
        <v>6</v>
      </c>
      <c r="T37" s="1058"/>
      <c r="U37" s="1059"/>
      <c r="V37" s="1058"/>
      <c r="W37" s="1058"/>
      <c r="X37" s="1059"/>
      <c r="Y37" s="1098" t="s">
        <v>181</v>
      </c>
      <c r="Z37" s="1033">
        <v>26</v>
      </c>
      <c r="AA37" s="1033">
        <v>26</v>
      </c>
      <c r="AB37" s="1058"/>
      <c r="AC37" s="1080"/>
    </row>
    <row r="38" spans="3:29" ht="15" customHeight="1" x14ac:dyDescent="0.2">
      <c r="D38" s="1057" t="s">
        <v>313</v>
      </c>
      <c r="E38" s="1058">
        <v>19</v>
      </c>
      <c r="F38" s="1059" t="s">
        <v>735</v>
      </c>
      <c r="G38" s="1059"/>
      <c r="H38" s="1058" t="s">
        <v>808</v>
      </c>
      <c r="I38" s="1061">
        <v>300</v>
      </c>
      <c r="J38" s="1092">
        <v>2</v>
      </c>
      <c r="L38" s="1058"/>
      <c r="M38" s="1059"/>
      <c r="N38" s="1058"/>
      <c r="O38" s="1057"/>
      <c r="P38" s="1058"/>
      <c r="Q38" s="1059"/>
      <c r="R38" s="1057" t="s">
        <v>425</v>
      </c>
      <c r="S38" s="1057">
        <v>2</v>
      </c>
      <c r="T38" s="1058"/>
      <c r="U38" s="1059"/>
      <c r="V38" s="1058"/>
      <c r="W38" s="1058"/>
      <c r="X38" s="1059"/>
      <c r="Y38" s="1098" t="s">
        <v>296</v>
      </c>
      <c r="Z38" s="1065">
        <v>0</v>
      </c>
      <c r="AA38" s="1065">
        <v>0</v>
      </c>
      <c r="AB38" s="1058"/>
      <c r="AC38" s="1080"/>
    </row>
    <row r="39" spans="3:29" ht="15" customHeight="1" x14ac:dyDescent="0.2">
      <c r="D39" s="1057" t="s">
        <v>833</v>
      </c>
      <c r="E39" s="1058">
        <v>19</v>
      </c>
      <c r="F39" s="1059" t="s">
        <v>735</v>
      </c>
      <c r="G39" s="1059"/>
      <c r="H39" s="1058" t="s">
        <v>809</v>
      </c>
      <c r="I39" s="1061">
        <v>300</v>
      </c>
      <c r="J39" s="1092">
        <v>2</v>
      </c>
      <c r="L39" s="1058"/>
      <c r="M39" s="1059"/>
      <c r="N39" s="1058"/>
      <c r="O39" s="1057"/>
      <c r="P39" s="1058"/>
      <c r="Q39" s="1059"/>
      <c r="R39" s="1057" t="s">
        <v>348</v>
      </c>
      <c r="S39" s="1057">
        <v>6</v>
      </c>
      <c r="T39" s="1058"/>
      <c r="U39" s="1059"/>
      <c r="V39" s="1058"/>
      <c r="W39" s="1058"/>
      <c r="X39" s="1059"/>
      <c r="AB39" s="1058"/>
      <c r="AC39" s="1080"/>
    </row>
    <row r="40" spans="3:29" ht="15" customHeight="1" x14ac:dyDescent="0.2">
      <c r="D40" s="1057" t="s">
        <v>846</v>
      </c>
      <c r="E40" s="1058">
        <v>19</v>
      </c>
      <c r="F40" s="1059" t="s">
        <v>735</v>
      </c>
      <c r="G40" s="1059"/>
      <c r="H40" s="1058" t="s">
        <v>810</v>
      </c>
      <c r="I40" s="1061">
        <v>300</v>
      </c>
      <c r="J40" s="1092">
        <v>2</v>
      </c>
      <c r="L40" s="1058"/>
      <c r="M40" s="1059"/>
      <c r="N40" s="1058"/>
      <c r="O40" s="1057"/>
      <c r="P40" s="1058"/>
      <c r="Q40" s="1059"/>
      <c r="R40" s="1057" t="s">
        <v>349</v>
      </c>
      <c r="S40" s="1057">
        <v>8</v>
      </c>
      <c r="T40" s="1058"/>
      <c r="U40" s="1059"/>
      <c r="V40" s="1058"/>
      <c r="W40" s="1058"/>
      <c r="X40" s="1059"/>
      <c r="Y40" s="1058"/>
      <c r="Z40" s="1058"/>
      <c r="AA40" s="1058"/>
      <c r="AB40" s="1058"/>
      <c r="AC40" s="1080"/>
    </row>
    <row r="41" spans="3:29" ht="15" customHeight="1" x14ac:dyDescent="0.2">
      <c r="D41" s="1057" t="s">
        <v>322</v>
      </c>
      <c r="E41" s="1058">
        <v>19</v>
      </c>
      <c r="F41" s="1059" t="s">
        <v>735</v>
      </c>
      <c r="G41" s="1059"/>
      <c r="H41" s="1058" t="s">
        <v>811</v>
      </c>
      <c r="I41" s="1061">
        <v>300</v>
      </c>
      <c r="J41" s="1092">
        <v>1</v>
      </c>
      <c r="L41" s="1058"/>
      <c r="M41" s="1059"/>
      <c r="N41" s="1058"/>
      <c r="O41" s="1057"/>
      <c r="P41" s="1058"/>
      <c r="Q41" s="1059"/>
      <c r="R41" s="1057" t="s">
        <v>350</v>
      </c>
      <c r="S41" s="1057">
        <v>8</v>
      </c>
      <c r="T41" s="1058"/>
      <c r="U41" s="1059"/>
      <c r="V41" s="1058"/>
      <c r="W41" s="1058"/>
      <c r="X41" s="1059"/>
      <c r="Y41" s="1058"/>
      <c r="Z41" s="1058"/>
      <c r="AA41" s="1058"/>
      <c r="AB41" s="1058"/>
      <c r="AC41" s="1080"/>
    </row>
    <row r="42" spans="3:29" ht="15" customHeight="1" x14ac:dyDescent="0.2">
      <c r="D42" s="1057" t="s">
        <v>323</v>
      </c>
      <c r="E42" s="1058">
        <v>19</v>
      </c>
      <c r="F42" s="1059" t="s">
        <v>735</v>
      </c>
      <c r="G42" s="1059"/>
      <c r="H42" s="1058" t="s">
        <v>812</v>
      </c>
      <c r="I42" s="1061">
        <v>300</v>
      </c>
      <c r="J42" s="1092">
        <v>1</v>
      </c>
      <c r="L42" s="1058"/>
      <c r="M42" s="1059"/>
      <c r="N42" s="1058"/>
      <c r="O42" s="1057"/>
      <c r="P42" s="1058"/>
      <c r="Q42" s="1059"/>
      <c r="R42" s="1058"/>
      <c r="S42" s="1058"/>
      <c r="T42" s="1058"/>
      <c r="U42" s="1059"/>
      <c r="V42" s="1058"/>
      <c r="W42" s="1058"/>
      <c r="X42" s="1059"/>
      <c r="Y42" s="1058"/>
      <c r="Z42" s="1058"/>
      <c r="AA42" s="1058"/>
      <c r="AB42" s="1058"/>
      <c r="AC42" s="1080"/>
    </row>
    <row r="43" spans="3:29" ht="24" x14ac:dyDescent="0.2">
      <c r="D43" s="1057" t="s">
        <v>314</v>
      </c>
      <c r="E43" s="1058">
        <v>19</v>
      </c>
      <c r="F43" s="1059" t="s">
        <v>735</v>
      </c>
      <c r="G43" s="1059"/>
      <c r="H43" s="1058" t="s">
        <v>813</v>
      </c>
      <c r="I43" s="1061">
        <v>300</v>
      </c>
      <c r="J43" s="1092">
        <v>1</v>
      </c>
      <c r="L43" s="1058"/>
      <c r="M43" s="1059"/>
      <c r="N43" s="1058"/>
      <c r="O43" s="1057"/>
      <c r="P43" s="1058"/>
      <c r="Q43" s="1059"/>
      <c r="R43" s="1058"/>
      <c r="S43" s="1058"/>
      <c r="T43" s="1058"/>
      <c r="U43" s="1059"/>
      <c r="V43" s="1058"/>
      <c r="W43" s="1058"/>
      <c r="X43" s="1059"/>
      <c r="Y43" s="1058"/>
      <c r="Z43" s="1058"/>
      <c r="AA43" s="1058"/>
      <c r="AB43" s="1058"/>
      <c r="AC43" s="1080"/>
    </row>
    <row r="44" spans="3:29" ht="24" x14ac:dyDescent="0.2">
      <c r="D44" s="1057" t="s">
        <v>315</v>
      </c>
      <c r="E44" s="1058">
        <v>19</v>
      </c>
      <c r="F44" s="1059" t="s">
        <v>735</v>
      </c>
      <c r="G44" s="1059"/>
      <c r="H44" s="1073" t="s">
        <v>814</v>
      </c>
      <c r="I44" s="1061">
        <v>262.5</v>
      </c>
      <c r="J44" s="1092">
        <v>1</v>
      </c>
      <c r="L44" s="1058"/>
      <c r="M44" s="1059"/>
      <c r="N44" s="1058"/>
      <c r="O44" s="1057"/>
      <c r="P44" s="1058"/>
      <c r="Q44" s="1059"/>
      <c r="R44" s="1058"/>
      <c r="S44" s="1058"/>
      <c r="T44" s="1058"/>
      <c r="U44" s="1059"/>
      <c r="V44" s="1058"/>
      <c r="W44" s="1058"/>
      <c r="X44" s="1059"/>
      <c r="Y44" s="1058"/>
      <c r="Z44" s="1058"/>
      <c r="AA44" s="1058"/>
      <c r="AB44" s="1058"/>
      <c r="AC44" s="1080"/>
    </row>
    <row r="45" spans="3:29" x14ac:dyDescent="0.2">
      <c r="D45" s="1058"/>
      <c r="E45" s="1058"/>
      <c r="F45" s="1059"/>
      <c r="G45" s="1059"/>
      <c r="H45" s="1060" t="s">
        <v>815</v>
      </c>
      <c r="I45" s="1061">
        <v>177</v>
      </c>
      <c r="J45" s="1092">
        <v>1</v>
      </c>
      <c r="L45" s="1058"/>
      <c r="M45" s="1059"/>
      <c r="N45" s="1058"/>
      <c r="O45" s="1057"/>
      <c r="P45" s="1058"/>
      <c r="Q45" s="1059"/>
      <c r="R45" s="1058"/>
      <c r="S45" s="1058"/>
      <c r="T45" s="1058"/>
      <c r="U45" s="1059"/>
      <c r="V45" s="1058"/>
      <c r="W45" s="1058"/>
      <c r="X45" s="1059"/>
      <c r="Y45" s="1058"/>
      <c r="Z45" s="1058"/>
      <c r="AA45" s="1058"/>
      <c r="AB45" s="1058"/>
      <c r="AC45" s="1080"/>
    </row>
    <row r="46" spans="3:29" ht="12.75" thickBot="1" x14ac:dyDescent="0.25">
      <c r="D46" s="1058"/>
      <c r="E46" s="1058"/>
      <c r="F46" s="1059"/>
      <c r="G46" s="1059"/>
      <c r="H46" s="1060" t="s">
        <v>816</v>
      </c>
      <c r="I46" s="1061">
        <v>258.59999999999997</v>
      </c>
      <c r="J46" s="1092">
        <v>1</v>
      </c>
      <c r="L46" s="1058"/>
      <c r="M46" s="1059"/>
      <c r="N46" s="1058"/>
      <c r="O46" s="1057"/>
      <c r="P46" s="1058"/>
      <c r="Q46" s="1059"/>
      <c r="R46" s="1058"/>
      <c r="S46" s="1058"/>
      <c r="T46" s="1058"/>
      <c r="U46" s="1059"/>
      <c r="V46" s="1058"/>
      <c r="W46" s="1058"/>
      <c r="X46" s="1059"/>
      <c r="Y46" s="1058"/>
      <c r="Z46" s="1058"/>
      <c r="AA46" s="1058"/>
      <c r="AB46" s="1058"/>
      <c r="AC46" s="1080"/>
    </row>
    <row r="47" spans="3:29" x14ac:dyDescent="0.2">
      <c r="D47" s="1044" t="s">
        <v>267</v>
      </c>
      <c r="E47" s="1058"/>
      <c r="F47" s="1059"/>
      <c r="G47" s="1059"/>
      <c r="H47" s="1060"/>
      <c r="I47" s="1061"/>
      <c r="J47" s="1092">
        <v>3</v>
      </c>
      <c r="K47" s="1058"/>
      <c r="L47" s="1058"/>
      <c r="M47" s="1059"/>
      <c r="N47" s="1058"/>
      <c r="O47" s="1057"/>
      <c r="P47" s="1058"/>
      <c r="Q47" s="1059"/>
      <c r="R47" s="1058"/>
      <c r="S47" s="1058"/>
      <c r="T47" s="1058"/>
      <c r="U47" s="1059"/>
      <c r="V47" s="1058"/>
      <c r="W47" s="1058"/>
      <c r="X47" s="1059"/>
      <c r="Y47" s="1058"/>
      <c r="Z47" s="1058"/>
      <c r="AA47" s="1058"/>
      <c r="AB47" s="1058"/>
      <c r="AC47" s="1080"/>
    </row>
    <row r="48" spans="3:29" x14ac:dyDescent="0.2">
      <c r="D48" s="1057" t="s">
        <v>832</v>
      </c>
      <c r="E48" s="1058"/>
      <c r="F48" s="1059"/>
      <c r="G48" s="1059"/>
      <c r="H48" s="1060"/>
      <c r="I48" s="1061"/>
      <c r="J48" s="1092">
        <v>1</v>
      </c>
      <c r="K48" s="1058"/>
      <c r="L48" s="1058"/>
      <c r="M48" s="1059"/>
      <c r="N48" s="1058"/>
      <c r="O48" s="1057"/>
      <c r="P48" s="1058"/>
      <c r="Q48" s="1059"/>
      <c r="R48" s="1058"/>
      <c r="S48" s="1058"/>
      <c r="T48" s="1058"/>
      <c r="U48" s="1059"/>
      <c r="V48" s="1058"/>
      <c r="W48" s="1058"/>
      <c r="X48" s="1059"/>
      <c r="Y48" s="1058"/>
      <c r="Z48" s="1058"/>
      <c r="AA48" s="1058"/>
      <c r="AB48" s="1058"/>
      <c r="AC48" s="1080"/>
    </row>
    <row r="49" spans="4:29" x14ac:dyDescent="0.2">
      <c r="D49" s="1057" t="s">
        <v>839</v>
      </c>
      <c r="E49" s="1058"/>
      <c r="F49" s="1059"/>
      <c r="G49" s="1059"/>
      <c r="H49" s="1060"/>
      <c r="I49" s="1061"/>
      <c r="J49" s="1092">
        <v>1</v>
      </c>
      <c r="K49" s="1058"/>
      <c r="L49" s="1058"/>
      <c r="M49" s="1059"/>
      <c r="N49" s="1058"/>
      <c r="O49" s="1057"/>
      <c r="P49" s="1058"/>
      <c r="Q49" s="1059"/>
      <c r="R49" s="1058"/>
      <c r="S49" s="1058"/>
      <c r="T49" s="1058"/>
      <c r="U49" s="1059"/>
      <c r="V49" s="1058"/>
      <c r="W49" s="1058"/>
      <c r="X49" s="1059"/>
      <c r="Y49" s="1058"/>
      <c r="Z49" s="1058"/>
      <c r="AA49" s="1058"/>
      <c r="AB49" s="1058"/>
      <c r="AC49" s="1080"/>
    </row>
    <row r="50" spans="4:29" x14ac:dyDescent="0.2">
      <c r="D50" s="1057" t="s">
        <v>845</v>
      </c>
      <c r="E50" s="1058"/>
      <c r="F50" s="1059"/>
      <c r="G50" s="1059"/>
      <c r="H50" s="1060"/>
      <c r="I50" s="1058"/>
      <c r="J50" s="1092">
        <v>1</v>
      </c>
      <c r="K50" s="1058"/>
      <c r="L50" s="1058"/>
      <c r="M50" s="1059"/>
      <c r="N50" s="1058"/>
      <c r="O50" s="1057"/>
      <c r="P50" s="1058"/>
      <c r="Q50" s="1059"/>
      <c r="R50" s="1058"/>
      <c r="S50" s="1058"/>
      <c r="T50" s="1058"/>
      <c r="U50" s="1059"/>
      <c r="V50" s="1058"/>
      <c r="W50" s="1058"/>
      <c r="X50" s="1059"/>
      <c r="Y50" s="1058"/>
      <c r="Z50" s="1058"/>
      <c r="AA50" s="1058"/>
      <c r="AB50" s="1058"/>
      <c r="AC50" s="1080"/>
    </row>
    <row r="51" spans="4:29" x14ac:dyDescent="0.2">
      <c r="D51" s="1057" t="s">
        <v>837</v>
      </c>
      <c r="E51" s="1058"/>
      <c r="F51" s="1059"/>
      <c r="G51" s="1059"/>
      <c r="H51" s="1060"/>
      <c r="I51" s="1058"/>
      <c r="J51" s="1062"/>
      <c r="K51" s="1058"/>
      <c r="L51" s="1058"/>
      <c r="M51" s="1059"/>
      <c r="N51" s="1058"/>
      <c r="O51" s="1057"/>
      <c r="P51" s="1058"/>
      <c r="Q51" s="1059"/>
      <c r="R51" s="1058"/>
      <c r="S51" s="1058"/>
      <c r="T51" s="1058"/>
      <c r="U51" s="1059"/>
      <c r="V51" s="1058"/>
      <c r="W51" s="1058"/>
      <c r="X51" s="1059"/>
      <c r="Y51" s="1058"/>
      <c r="Z51" s="1058"/>
      <c r="AA51" s="1058"/>
      <c r="AB51" s="1058"/>
      <c r="AC51" s="1080"/>
    </row>
    <row r="52" spans="4:29" x14ac:dyDescent="0.2">
      <c r="D52" s="1057" t="s">
        <v>840</v>
      </c>
      <c r="E52" s="1058"/>
      <c r="F52" s="1059"/>
      <c r="G52" s="1059"/>
      <c r="H52" s="1060"/>
      <c r="I52" s="1058"/>
      <c r="J52" s="1062"/>
      <c r="K52" s="1058"/>
      <c r="L52" s="1058"/>
      <c r="M52" s="1059"/>
      <c r="N52" s="1058"/>
      <c r="O52" s="1057"/>
      <c r="P52" s="1058"/>
      <c r="Q52" s="1059"/>
      <c r="R52" s="1058"/>
      <c r="S52" s="1058"/>
      <c r="T52" s="1058"/>
      <c r="U52" s="1059"/>
      <c r="V52" s="1058"/>
      <c r="W52" s="1058"/>
      <c r="X52" s="1059"/>
      <c r="Y52" s="1058"/>
      <c r="Z52" s="1058"/>
      <c r="AA52" s="1058"/>
      <c r="AB52" s="1058"/>
      <c r="AC52" s="1080"/>
    </row>
    <row r="53" spans="4:29" x14ac:dyDescent="0.2">
      <c r="D53" s="1057" t="s">
        <v>842</v>
      </c>
      <c r="E53" s="1058"/>
      <c r="F53" s="1059"/>
      <c r="G53" s="1059"/>
      <c r="H53" s="1060"/>
      <c r="J53" s="1062"/>
      <c r="K53" s="1058"/>
      <c r="L53" s="1058"/>
      <c r="M53" s="1059"/>
      <c r="N53" s="1058"/>
      <c r="O53" s="1057"/>
      <c r="P53" s="1058"/>
      <c r="Q53" s="1059"/>
      <c r="R53" s="1058"/>
      <c r="S53" s="1058"/>
      <c r="T53" s="1058"/>
      <c r="U53" s="1059"/>
      <c r="V53" s="1058"/>
      <c r="W53" s="1058"/>
      <c r="X53" s="1059"/>
      <c r="Y53" s="1058"/>
      <c r="Z53" s="1058"/>
      <c r="AA53" s="1058"/>
      <c r="AB53" s="1058"/>
      <c r="AC53" s="1080"/>
    </row>
    <row r="54" spans="4:29" x14ac:dyDescent="0.2">
      <c r="D54" s="1057" t="s">
        <v>50</v>
      </c>
      <c r="E54" s="1058"/>
      <c r="F54" s="1059"/>
      <c r="G54" s="1059"/>
      <c r="H54" s="1060"/>
      <c r="J54" s="1059"/>
      <c r="K54" s="1058"/>
      <c r="L54" s="1058"/>
      <c r="M54" s="1059"/>
      <c r="N54" s="1058"/>
      <c r="O54" s="1057"/>
      <c r="P54" s="1058"/>
      <c r="Q54" s="1059"/>
      <c r="R54" s="1058"/>
      <c r="S54" s="1058"/>
      <c r="T54" s="1058"/>
      <c r="U54" s="1059"/>
      <c r="V54" s="1058"/>
      <c r="W54" s="1058"/>
      <c r="X54" s="1059"/>
      <c r="Y54" s="1058"/>
      <c r="Z54" s="1058"/>
      <c r="AA54" s="1058"/>
      <c r="AB54" s="1058"/>
      <c r="AC54" s="1080"/>
    </row>
    <row r="55" spans="4:29" x14ac:dyDescent="0.2">
      <c r="D55" s="1057" t="s">
        <v>300</v>
      </c>
      <c r="E55" s="1058"/>
      <c r="F55" s="1059"/>
      <c r="G55" s="1059"/>
      <c r="H55" s="1060"/>
      <c r="J55" s="1059"/>
      <c r="K55" s="1058"/>
      <c r="L55" s="1058"/>
      <c r="M55" s="1059"/>
      <c r="N55" s="1058"/>
      <c r="O55" s="1057"/>
      <c r="P55" s="1058"/>
      <c r="Q55" s="1059"/>
      <c r="R55" s="1058"/>
      <c r="S55" s="1058"/>
      <c r="T55" s="1058"/>
      <c r="U55" s="1059"/>
      <c r="V55" s="1058"/>
      <c r="W55" s="1058"/>
      <c r="X55" s="1059"/>
      <c r="Y55" s="1058"/>
      <c r="Z55" s="1058"/>
      <c r="AA55" s="1058"/>
      <c r="AB55" s="1058"/>
      <c r="AC55" s="1080"/>
    </row>
    <row r="56" spans="4:29" x14ac:dyDescent="0.2">
      <c r="D56" s="1057" t="s">
        <v>729</v>
      </c>
      <c r="E56" s="1058"/>
      <c r="F56" s="1059"/>
      <c r="G56" s="1059"/>
      <c r="H56" s="1060"/>
      <c r="J56" s="1059"/>
      <c r="K56" s="1058"/>
      <c r="L56" s="1058"/>
      <c r="M56" s="1059"/>
      <c r="N56" s="1058"/>
      <c r="O56" s="1057"/>
      <c r="P56" s="1058"/>
      <c r="Q56" s="1059"/>
      <c r="R56" s="1058"/>
      <c r="S56" s="1058"/>
      <c r="T56" s="1058"/>
      <c r="U56" s="1059"/>
      <c r="V56" s="1058"/>
      <c r="W56" s="1058"/>
      <c r="X56" s="1059"/>
      <c r="Y56" s="1058"/>
      <c r="Z56" s="1058"/>
      <c r="AA56" s="1058"/>
      <c r="AB56" s="1058"/>
      <c r="AC56" s="1080"/>
    </row>
    <row r="57" spans="4:29" x14ac:dyDescent="0.2">
      <c r="D57" s="1057" t="s">
        <v>282</v>
      </c>
      <c r="E57" s="1058"/>
      <c r="F57" s="1059"/>
      <c r="G57" s="1059"/>
      <c r="H57" s="1060"/>
      <c r="K57" s="1058"/>
      <c r="L57" s="1058"/>
      <c r="M57" s="1059"/>
      <c r="N57" s="1058"/>
      <c r="O57" s="1057"/>
      <c r="P57" s="1058"/>
      <c r="Q57" s="1059"/>
      <c r="R57" s="1058"/>
      <c r="S57" s="1058"/>
      <c r="T57" s="1058"/>
      <c r="U57" s="1059"/>
      <c r="V57" s="1058"/>
      <c r="W57" s="1058"/>
      <c r="X57" s="1059"/>
      <c r="Y57" s="1058"/>
      <c r="Z57" s="1058"/>
      <c r="AA57" s="1058"/>
      <c r="AB57" s="1058"/>
      <c r="AC57" s="1080"/>
    </row>
    <row r="58" spans="4:29" x14ac:dyDescent="0.2">
      <c r="D58" s="1057" t="s">
        <v>656</v>
      </c>
      <c r="E58" s="1058"/>
      <c r="F58" s="1059"/>
      <c r="G58" s="1059"/>
      <c r="K58" s="1058"/>
      <c r="L58" s="1058"/>
      <c r="M58" s="1059"/>
      <c r="P58" s="1058"/>
      <c r="Q58" s="1059"/>
      <c r="R58" s="1058"/>
      <c r="S58" s="1058"/>
      <c r="U58" s="1059"/>
      <c r="V58" s="1058"/>
      <c r="W58" s="1058"/>
      <c r="X58" s="1059"/>
      <c r="Y58" s="1058"/>
      <c r="Z58" s="1058"/>
      <c r="AA58" s="1058"/>
      <c r="AB58" s="1058"/>
      <c r="AC58" s="1080"/>
    </row>
    <row r="59" spans="4:29" x14ac:dyDescent="0.2">
      <c r="D59" s="1057" t="s">
        <v>657</v>
      </c>
      <c r="E59" s="1058"/>
      <c r="F59" s="1059"/>
      <c r="K59" s="1058"/>
      <c r="L59" s="1058"/>
      <c r="M59" s="1059"/>
      <c r="P59" s="1058"/>
      <c r="Q59" s="1059"/>
      <c r="R59" s="1058"/>
      <c r="S59" s="1058"/>
      <c r="U59" s="1059"/>
      <c r="V59" s="1058"/>
      <c r="W59" s="1058"/>
      <c r="X59" s="1059"/>
      <c r="Y59" s="1058"/>
      <c r="Z59" s="1058"/>
      <c r="AA59" s="1058"/>
      <c r="AB59" s="1058"/>
      <c r="AC59" s="1080"/>
    </row>
    <row r="60" spans="4:29" ht="12.75" thickBot="1" x14ac:dyDescent="0.25">
      <c r="D60" s="1058"/>
      <c r="E60" s="1058"/>
      <c r="F60" s="1059"/>
      <c r="Q60" s="1059"/>
      <c r="R60" s="1058"/>
      <c r="S60" s="1058"/>
      <c r="V60" s="1058"/>
      <c r="W60" s="1058"/>
      <c r="Y60" s="1058"/>
      <c r="Z60" s="1058"/>
      <c r="AA60" s="1058"/>
      <c r="AB60" s="1058"/>
      <c r="AC60" s="1080"/>
    </row>
    <row r="61" spans="4:29" x14ac:dyDescent="0.2">
      <c r="D61" s="1044" t="s">
        <v>299</v>
      </c>
      <c r="E61" s="1058"/>
      <c r="F61" s="1059"/>
      <c r="Q61" s="1059"/>
      <c r="R61" s="1058"/>
      <c r="S61" s="1058"/>
      <c r="V61" s="1058"/>
      <c r="W61" s="1058"/>
      <c r="Y61" s="1058"/>
      <c r="Z61" s="1058"/>
      <c r="AA61" s="1058"/>
      <c r="AB61" s="1058"/>
      <c r="AC61" s="1080"/>
    </row>
    <row r="62" spans="4:29" x14ac:dyDescent="0.2">
      <c r="D62" s="1057" t="s">
        <v>434</v>
      </c>
      <c r="E62" s="1058"/>
      <c r="F62" s="1059"/>
      <c r="H62" s="1099"/>
      <c r="Q62" s="1059"/>
      <c r="R62" s="1058"/>
      <c r="S62" s="1058"/>
      <c r="V62" s="1058"/>
      <c r="W62" s="1058"/>
      <c r="Y62" s="1058"/>
      <c r="Z62" s="1058"/>
      <c r="AA62" s="1058"/>
      <c r="AB62" s="1058"/>
      <c r="AC62" s="1080"/>
    </row>
    <row r="63" spans="4:29" x14ac:dyDescent="0.2">
      <c r="D63" s="1057" t="s">
        <v>49</v>
      </c>
      <c r="E63" s="1058"/>
      <c r="F63" s="1059"/>
      <c r="Q63" s="1059"/>
      <c r="R63" s="1058"/>
      <c r="S63" s="1058"/>
      <c r="V63" s="1058"/>
      <c r="W63" s="1058"/>
      <c r="Y63" s="1058"/>
      <c r="Z63" s="1058"/>
      <c r="AA63" s="1058"/>
      <c r="AB63" s="1058"/>
      <c r="AC63" s="1080"/>
    </row>
    <row r="64" spans="4:29" x14ac:dyDescent="0.2">
      <c r="D64" s="1057" t="s">
        <v>832</v>
      </c>
      <c r="E64" s="1058"/>
      <c r="F64" s="1059"/>
      <c r="Q64" s="1059"/>
      <c r="R64" s="1058"/>
      <c r="S64" s="1058"/>
      <c r="V64" s="1058"/>
      <c r="W64" s="1058"/>
      <c r="Y64" s="1058"/>
      <c r="Z64" s="1058"/>
      <c r="AA64" s="1058"/>
      <c r="AB64" s="1058"/>
      <c r="AC64" s="1080"/>
    </row>
    <row r="65" spans="4:29" x14ac:dyDescent="0.2">
      <c r="D65" s="1057" t="s">
        <v>50</v>
      </c>
      <c r="E65" s="1058"/>
      <c r="F65" s="1059"/>
      <c r="Q65" s="1059"/>
      <c r="V65" s="1058"/>
      <c r="W65" s="1058"/>
      <c r="Y65" s="1058"/>
      <c r="Z65" s="1058"/>
      <c r="AA65" s="1058"/>
      <c r="AB65" s="1058"/>
      <c r="AC65" s="1080"/>
    </row>
    <row r="66" spans="4:29" x14ac:dyDescent="0.2">
      <c r="D66" s="1057" t="s">
        <v>75</v>
      </c>
      <c r="E66" s="1058"/>
      <c r="F66" s="1059"/>
      <c r="Q66" s="1059"/>
      <c r="V66" s="1058"/>
      <c r="W66" s="1058"/>
      <c r="Y66" s="1058"/>
      <c r="Z66" s="1058"/>
      <c r="AA66" s="1058"/>
      <c r="AB66" s="1058"/>
    </row>
    <row r="67" spans="4:29" x14ac:dyDescent="0.2">
      <c r="D67" s="1057" t="s">
        <v>82</v>
      </c>
      <c r="E67" s="1058"/>
      <c r="F67" s="1059"/>
      <c r="Q67" s="1059"/>
      <c r="V67" s="1058"/>
      <c r="W67" s="1058"/>
      <c r="Y67" s="1058"/>
      <c r="Z67" s="1058"/>
      <c r="AA67" s="1058"/>
      <c r="AB67" s="1058"/>
    </row>
    <row r="68" spans="4:29" x14ac:dyDescent="0.2">
      <c r="D68" s="1057" t="s">
        <v>797</v>
      </c>
      <c r="E68" s="1058"/>
      <c r="F68" s="1059"/>
      <c r="Q68" s="1059"/>
      <c r="V68" s="1058"/>
      <c r="W68" s="1058"/>
      <c r="AB68" s="1058"/>
    </row>
    <row r="69" spans="4:29" x14ac:dyDescent="0.2">
      <c r="D69" s="1057" t="s">
        <v>316</v>
      </c>
      <c r="E69" s="1058"/>
      <c r="F69" s="1059"/>
      <c r="Q69" s="1059"/>
      <c r="V69" s="1058"/>
      <c r="W69" s="1058"/>
      <c r="AB69" s="1058"/>
    </row>
    <row r="70" spans="4:29" ht="24" x14ac:dyDescent="0.2">
      <c r="D70" s="1057" t="s">
        <v>317</v>
      </c>
      <c r="E70" s="1058"/>
      <c r="F70" s="1059"/>
      <c r="Q70" s="1059"/>
      <c r="V70" s="1058"/>
      <c r="W70" s="1058"/>
      <c r="AB70" s="1058"/>
    </row>
    <row r="71" spans="4:29" x14ac:dyDescent="0.2">
      <c r="D71" s="1057" t="s">
        <v>835</v>
      </c>
      <c r="E71" s="1058"/>
      <c r="F71" s="1059"/>
      <c r="Q71" s="1059"/>
      <c r="AB71" s="1058"/>
    </row>
    <row r="72" spans="4:29" ht="24" x14ac:dyDescent="0.2">
      <c r="D72" s="1057" t="s">
        <v>836</v>
      </c>
      <c r="E72" s="1058"/>
      <c r="F72" s="1059"/>
      <c r="Q72" s="1059"/>
      <c r="AB72" s="1058"/>
    </row>
    <row r="73" spans="4:29" x14ac:dyDescent="0.2">
      <c r="D73" s="1057" t="s">
        <v>318</v>
      </c>
      <c r="Q73" s="1059"/>
      <c r="AB73" s="1058"/>
    </row>
    <row r="74" spans="4:29" ht="24" x14ac:dyDescent="0.2">
      <c r="D74" s="1057" t="s">
        <v>319</v>
      </c>
      <c r="Q74" s="1059"/>
    </row>
    <row r="75" spans="4:29" x14ac:dyDescent="0.2">
      <c r="D75" s="1057" t="s">
        <v>320</v>
      </c>
      <c r="Q75" s="1059"/>
    </row>
    <row r="76" spans="4:29" ht="24" x14ac:dyDescent="0.2">
      <c r="D76" s="1057" t="s">
        <v>321</v>
      </c>
    </row>
    <row r="77" spans="4:29" x14ac:dyDescent="0.2">
      <c r="D77" s="1057" t="s">
        <v>312</v>
      </c>
    </row>
    <row r="78" spans="4:29" ht="24" x14ac:dyDescent="0.2">
      <c r="D78" s="1057" t="s">
        <v>313</v>
      </c>
    </row>
    <row r="79" spans="4:29" x14ac:dyDescent="0.2">
      <c r="D79" s="1057" t="s">
        <v>833</v>
      </c>
    </row>
    <row r="80" spans="4:29" ht="24" x14ac:dyDescent="0.2">
      <c r="D80" s="1057" t="s">
        <v>846</v>
      </c>
    </row>
    <row r="81" spans="4:4" x14ac:dyDescent="0.2">
      <c r="D81" s="1057" t="s">
        <v>322</v>
      </c>
    </row>
    <row r="82" spans="4:4" ht="24" x14ac:dyDescent="0.2">
      <c r="D82" s="1057" t="s">
        <v>323</v>
      </c>
    </row>
    <row r="83" spans="4:4" ht="24" x14ac:dyDescent="0.2">
      <c r="D83" s="1057" t="s">
        <v>314</v>
      </c>
    </row>
    <row r="84" spans="4:4" ht="24" x14ac:dyDescent="0.2">
      <c r="D84" s="1057" t="s">
        <v>315</v>
      </c>
    </row>
  </sheetData>
  <sheetProtection selectLockedCells="1" selectUnlockedCells="1"/>
  <dataConsolidate/>
  <mergeCells count="3">
    <mergeCell ref="D1:E1"/>
    <mergeCell ref="K1:L1"/>
    <mergeCell ref="N1:O1"/>
  </mergeCells>
  <pageMargins left="0.19" right="0.22" top="0.21" bottom="0.36" header="0.17" footer="0.17"/>
  <pageSetup scale="40" fitToWidth="2" orientation="landscape" horizontalDpi="1200" verticalDpi="1200" r:id="rId1"/>
  <headerFooter alignWithMargins="0"/>
  <legacyDrawing r:id="rId2"/>
  <extLst>
    <ext xmlns:x14="http://schemas.microsoft.com/office/spreadsheetml/2009/9/main" uri="{CCE6A557-97BC-4b89-ADB6-D9C93CAAB3DF}">
      <x14:dataValidations xmlns:xm="http://schemas.microsoft.com/office/excel/2006/main" count="1">
        <x14: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xr:uid="{00000000-0002-0000-0E00-000000000000}">
          <x14:formula1>
            <xm:f>0</xm:f>
          </x14:formula1>
          <xm:sqref>H56 JD56 SZ56 ACV56 AMR56 AWN56 BGJ56 BQF56 CAB56 CJX56 CTT56 DDP56 DNL56 DXH56 EHD56 EQZ56 FAV56 FKR56 FUN56 GEJ56 GOF56 GYB56 HHX56 HRT56 IBP56 ILL56 IVH56 JFD56 JOZ56 JYV56 KIR56 KSN56 LCJ56 LMF56 LWB56 MFX56 MPT56 MZP56 NJL56 NTH56 ODD56 OMZ56 OWV56 PGR56 PQN56 QAJ56 QKF56 QUB56 RDX56 RNT56 RXP56 SHL56 SRH56 TBD56 TKZ56 TUV56 UER56 UON56 UYJ56 VIF56 VSB56 WBX56 WLT56 WVP56 H65592 JD65592 SZ65592 ACV65592 AMR65592 AWN65592 BGJ65592 BQF65592 CAB65592 CJX65592 CTT65592 DDP65592 DNL65592 DXH65592 EHD65592 EQZ65592 FAV65592 FKR65592 FUN65592 GEJ65592 GOF65592 GYB65592 HHX65592 HRT65592 IBP65592 ILL65592 IVH65592 JFD65592 JOZ65592 JYV65592 KIR65592 KSN65592 LCJ65592 LMF65592 LWB65592 MFX65592 MPT65592 MZP65592 NJL65592 NTH65592 ODD65592 OMZ65592 OWV65592 PGR65592 PQN65592 QAJ65592 QKF65592 QUB65592 RDX65592 RNT65592 RXP65592 SHL65592 SRH65592 TBD65592 TKZ65592 TUV65592 UER65592 UON65592 UYJ65592 VIF65592 VSB65592 WBX65592 WLT65592 WVP65592 H131128 JD131128 SZ131128 ACV131128 AMR131128 AWN131128 BGJ131128 BQF131128 CAB131128 CJX131128 CTT131128 DDP131128 DNL131128 DXH131128 EHD131128 EQZ131128 FAV131128 FKR131128 FUN131128 GEJ131128 GOF131128 GYB131128 HHX131128 HRT131128 IBP131128 ILL131128 IVH131128 JFD131128 JOZ131128 JYV131128 KIR131128 KSN131128 LCJ131128 LMF131128 LWB131128 MFX131128 MPT131128 MZP131128 NJL131128 NTH131128 ODD131128 OMZ131128 OWV131128 PGR131128 PQN131128 QAJ131128 QKF131128 QUB131128 RDX131128 RNT131128 RXP131128 SHL131128 SRH131128 TBD131128 TKZ131128 TUV131128 UER131128 UON131128 UYJ131128 VIF131128 VSB131128 WBX131128 WLT131128 WVP131128 H196664 JD196664 SZ196664 ACV196664 AMR196664 AWN196664 BGJ196664 BQF196664 CAB196664 CJX196664 CTT196664 DDP196664 DNL196664 DXH196664 EHD196664 EQZ196664 FAV196664 FKR196664 FUN196664 GEJ196664 GOF196664 GYB196664 HHX196664 HRT196664 IBP196664 ILL196664 IVH196664 JFD196664 JOZ196664 JYV196664 KIR196664 KSN196664 LCJ196664 LMF196664 LWB196664 MFX196664 MPT196664 MZP196664 NJL196664 NTH196664 ODD196664 OMZ196664 OWV196664 PGR196664 PQN196664 QAJ196664 QKF196664 QUB196664 RDX196664 RNT196664 RXP196664 SHL196664 SRH196664 TBD196664 TKZ196664 TUV196664 UER196664 UON196664 UYJ196664 VIF196664 VSB196664 WBX196664 WLT196664 WVP196664 H262200 JD262200 SZ262200 ACV262200 AMR262200 AWN262200 BGJ262200 BQF262200 CAB262200 CJX262200 CTT262200 DDP262200 DNL262200 DXH262200 EHD262200 EQZ262200 FAV262200 FKR262200 FUN262200 GEJ262200 GOF262200 GYB262200 HHX262200 HRT262200 IBP262200 ILL262200 IVH262200 JFD262200 JOZ262200 JYV262200 KIR262200 KSN262200 LCJ262200 LMF262200 LWB262200 MFX262200 MPT262200 MZP262200 NJL262200 NTH262200 ODD262200 OMZ262200 OWV262200 PGR262200 PQN262200 QAJ262200 QKF262200 QUB262200 RDX262200 RNT262200 RXP262200 SHL262200 SRH262200 TBD262200 TKZ262200 TUV262200 UER262200 UON262200 UYJ262200 VIF262200 VSB262200 WBX262200 WLT262200 WVP262200 H327736 JD327736 SZ327736 ACV327736 AMR327736 AWN327736 BGJ327736 BQF327736 CAB327736 CJX327736 CTT327736 DDP327736 DNL327736 DXH327736 EHD327736 EQZ327736 FAV327736 FKR327736 FUN327736 GEJ327736 GOF327736 GYB327736 HHX327736 HRT327736 IBP327736 ILL327736 IVH327736 JFD327736 JOZ327736 JYV327736 KIR327736 KSN327736 LCJ327736 LMF327736 LWB327736 MFX327736 MPT327736 MZP327736 NJL327736 NTH327736 ODD327736 OMZ327736 OWV327736 PGR327736 PQN327736 QAJ327736 QKF327736 QUB327736 RDX327736 RNT327736 RXP327736 SHL327736 SRH327736 TBD327736 TKZ327736 TUV327736 UER327736 UON327736 UYJ327736 VIF327736 VSB327736 WBX327736 WLT327736 WVP327736 H393272 JD393272 SZ393272 ACV393272 AMR393272 AWN393272 BGJ393272 BQF393272 CAB393272 CJX393272 CTT393272 DDP393272 DNL393272 DXH393272 EHD393272 EQZ393272 FAV393272 FKR393272 FUN393272 GEJ393272 GOF393272 GYB393272 HHX393272 HRT393272 IBP393272 ILL393272 IVH393272 JFD393272 JOZ393272 JYV393272 KIR393272 KSN393272 LCJ393272 LMF393272 LWB393272 MFX393272 MPT393272 MZP393272 NJL393272 NTH393272 ODD393272 OMZ393272 OWV393272 PGR393272 PQN393272 QAJ393272 QKF393272 QUB393272 RDX393272 RNT393272 RXP393272 SHL393272 SRH393272 TBD393272 TKZ393272 TUV393272 UER393272 UON393272 UYJ393272 VIF393272 VSB393272 WBX393272 WLT393272 WVP393272 H458808 JD458808 SZ458808 ACV458808 AMR458808 AWN458808 BGJ458808 BQF458808 CAB458808 CJX458808 CTT458808 DDP458808 DNL458808 DXH458808 EHD458808 EQZ458808 FAV458808 FKR458808 FUN458808 GEJ458808 GOF458808 GYB458808 HHX458808 HRT458808 IBP458808 ILL458808 IVH458808 JFD458808 JOZ458808 JYV458808 KIR458808 KSN458808 LCJ458808 LMF458808 LWB458808 MFX458808 MPT458808 MZP458808 NJL458808 NTH458808 ODD458808 OMZ458808 OWV458808 PGR458808 PQN458808 QAJ458808 QKF458808 QUB458808 RDX458808 RNT458808 RXP458808 SHL458808 SRH458808 TBD458808 TKZ458808 TUV458808 UER458808 UON458808 UYJ458808 VIF458808 VSB458808 WBX458808 WLT458808 WVP458808 H524344 JD524344 SZ524344 ACV524344 AMR524344 AWN524344 BGJ524344 BQF524344 CAB524344 CJX524344 CTT524344 DDP524344 DNL524344 DXH524344 EHD524344 EQZ524344 FAV524344 FKR524344 FUN524344 GEJ524344 GOF524344 GYB524344 HHX524344 HRT524344 IBP524344 ILL524344 IVH524344 JFD524344 JOZ524344 JYV524344 KIR524344 KSN524344 LCJ524344 LMF524344 LWB524344 MFX524344 MPT524344 MZP524344 NJL524344 NTH524344 ODD524344 OMZ524344 OWV524344 PGR524344 PQN524344 QAJ524344 QKF524344 QUB524344 RDX524344 RNT524344 RXP524344 SHL524344 SRH524344 TBD524344 TKZ524344 TUV524344 UER524344 UON524344 UYJ524344 VIF524344 VSB524344 WBX524344 WLT524344 WVP524344 H589880 JD589880 SZ589880 ACV589880 AMR589880 AWN589880 BGJ589880 BQF589880 CAB589880 CJX589880 CTT589880 DDP589880 DNL589880 DXH589880 EHD589880 EQZ589880 FAV589880 FKR589880 FUN589880 GEJ589880 GOF589880 GYB589880 HHX589880 HRT589880 IBP589880 ILL589880 IVH589880 JFD589880 JOZ589880 JYV589880 KIR589880 KSN589880 LCJ589880 LMF589880 LWB589880 MFX589880 MPT589880 MZP589880 NJL589880 NTH589880 ODD589880 OMZ589880 OWV589880 PGR589880 PQN589880 QAJ589880 QKF589880 QUB589880 RDX589880 RNT589880 RXP589880 SHL589880 SRH589880 TBD589880 TKZ589880 TUV589880 UER589880 UON589880 UYJ589880 VIF589880 VSB589880 WBX589880 WLT589880 WVP589880 H655416 JD655416 SZ655416 ACV655416 AMR655416 AWN655416 BGJ655416 BQF655416 CAB655416 CJX655416 CTT655416 DDP655416 DNL655416 DXH655416 EHD655416 EQZ655416 FAV655416 FKR655416 FUN655416 GEJ655416 GOF655416 GYB655416 HHX655416 HRT655416 IBP655416 ILL655416 IVH655416 JFD655416 JOZ655416 JYV655416 KIR655416 KSN655416 LCJ655416 LMF655416 LWB655416 MFX655416 MPT655416 MZP655416 NJL655416 NTH655416 ODD655416 OMZ655416 OWV655416 PGR655416 PQN655416 QAJ655416 QKF655416 QUB655416 RDX655416 RNT655416 RXP655416 SHL655416 SRH655416 TBD655416 TKZ655416 TUV655416 UER655416 UON655416 UYJ655416 VIF655416 VSB655416 WBX655416 WLT655416 WVP655416 H720952 JD720952 SZ720952 ACV720952 AMR720952 AWN720952 BGJ720952 BQF720952 CAB720952 CJX720952 CTT720952 DDP720952 DNL720952 DXH720952 EHD720952 EQZ720952 FAV720952 FKR720952 FUN720952 GEJ720952 GOF720952 GYB720952 HHX720952 HRT720952 IBP720952 ILL720952 IVH720952 JFD720952 JOZ720952 JYV720952 KIR720952 KSN720952 LCJ720952 LMF720952 LWB720952 MFX720952 MPT720952 MZP720952 NJL720952 NTH720952 ODD720952 OMZ720952 OWV720952 PGR720952 PQN720952 QAJ720952 QKF720952 QUB720952 RDX720952 RNT720952 RXP720952 SHL720952 SRH720952 TBD720952 TKZ720952 TUV720952 UER720952 UON720952 UYJ720952 VIF720952 VSB720952 WBX720952 WLT720952 WVP720952 H786488 JD786488 SZ786488 ACV786488 AMR786488 AWN786488 BGJ786488 BQF786488 CAB786488 CJX786488 CTT786488 DDP786488 DNL786488 DXH786488 EHD786488 EQZ786488 FAV786488 FKR786488 FUN786488 GEJ786488 GOF786488 GYB786488 HHX786488 HRT786488 IBP786488 ILL786488 IVH786488 JFD786488 JOZ786488 JYV786488 KIR786488 KSN786488 LCJ786488 LMF786488 LWB786488 MFX786488 MPT786488 MZP786488 NJL786488 NTH786488 ODD786488 OMZ786488 OWV786488 PGR786488 PQN786488 QAJ786488 QKF786488 QUB786488 RDX786488 RNT786488 RXP786488 SHL786488 SRH786488 TBD786488 TKZ786488 TUV786488 UER786488 UON786488 UYJ786488 VIF786488 VSB786488 WBX786488 WLT786488 WVP786488 H852024 JD852024 SZ852024 ACV852024 AMR852024 AWN852024 BGJ852024 BQF852024 CAB852024 CJX852024 CTT852024 DDP852024 DNL852024 DXH852024 EHD852024 EQZ852024 FAV852024 FKR852024 FUN852024 GEJ852024 GOF852024 GYB852024 HHX852024 HRT852024 IBP852024 ILL852024 IVH852024 JFD852024 JOZ852024 JYV852024 KIR852024 KSN852024 LCJ852024 LMF852024 LWB852024 MFX852024 MPT852024 MZP852024 NJL852024 NTH852024 ODD852024 OMZ852024 OWV852024 PGR852024 PQN852024 QAJ852024 QKF852024 QUB852024 RDX852024 RNT852024 RXP852024 SHL852024 SRH852024 TBD852024 TKZ852024 TUV852024 UER852024 UON852024 UYJ852024 VIF852024 VSB852024 WBX852024 WLT852024 WVP852024 H917560 JD917560 SZ917560 ACV917560 AMR917560 AWN917560 BGJ917560 BQF917560 CAB917560 CJX917560 CTT917560 DDP917560 DNL917560 DXH917560 EHD917560 EQZ917560 FAV917560 FKR917560 FUN917560 GEJ917560 GOF917560 GYB917560 HHX917560 HRT917560 IBP917560 ILL917560 IVH917560 JFD917560 JOZ917560 JYV917560 KIR917560 KSN917560 LCJ917560 LMF917560 LWB917560 MFX917560 MPT917560 MZP917560 NJL917560 NTH917560 ODD917560 OMZ917560 OWV917560 PGR917560 PQN917560 QAJ917560 QKF917560 QUB917560 RDX917560 RNT917560 RXP917560 SHL917560 SRH917560 TBD917560 TKZ917560 TUV917560 UER917560 UON917560 UYJ917560 VIF917560 VSB917560 WBX917560 WLT917560 WVP917560 H983096 JD983096 SZ983096 ACV983096 AMR983096 AWN983096 BGJ983096 BQF983096 CAB983096 CJX983096 CTT983096 DDP983096 DNL983096 DXH983096 EHD983096 EQZ983096 FAV983096 FKR983096 FUN983096 GEJ983096 GOF983096 GYB983096 HHX983096 HRT983096 IBP983096 ILL983096 IVH983096 JFD983096 JOZ983096 JYV983096 KIR983096 KSN983096 LCJ983096 LMF983096 LWB983096 MFX983096 MPT983096 MZP983096 NJL983096 NTH983096 ODD983096 OMZ983096 OWV983096 PGR983096 PQN983096 QAJ983096 QKF983096 QUB983096 RDX983096 RNT983096 RXP983096 SHL983096 SRH983096 TBD983096 TKZ983096 TUV983096 UER983096 UON983096 UYJ983096 VIF983096 VSB983096 WBX983096 WLT983096 WVP983096 Y39:AA39 JU39:JW39 TQ39:TS39 ADM39:ADO39 ANI39:ANK39 AXE39:AXG39 BHA39:BHC39 BQW39:BQY39 CAS39:CAU39 CKO39:CKQ39 CUK39:CUM39 DEG39:DEI39 DOC39:DOE39 DXY39:DYA39 EHU39:EHW39 ERQ39:ERS39 FBM39:FBO39 FLI39:FLK39 FVE39:FVG39 GFA39:GFC39 GOW39:GOY39 GYS39:GYU39 HIO39:HIQ39 HSK39:HSM39 ICG39:ICI39 IMC39:IME39 IVY39:IWA39 JFU39:JFW39 JPQ39:JPS39 JZM39:JZO39 KJI39:KJK39 KTE39:KTG39 LDA39:LDC39 LMW39:LMY39 LWS39:LWU39 MGO39:MGQ39 MQK39:MQM39 NAG39:NAI39 NKC39:NKE39 NTY39:NUA39 ODU39:ODW39 ONQ39:ONS39 OXM39:OXO39 PHI39:PHK39 PRE39:PRG39 QBA39:QBC39 QKW39:QKY39 QUS39:QUU39 REO39:REQ39 ROK39:ROM39 RYG39:RYI39 SIC39:SIE39 SRY39:SSA39 TBU39:TBW39 TLQ39:TLS39 TVM39:TVO39 UFI39:UFK39 UPE39:UPG39 UZA39:UZC39 VIW39:VIY39 VSS39:VSU39 WCO39:WCQ39 WMK39:WMM39 WWG39:WWI39 Y65575:AA65575 JU65575:JW65575 TQ65575:TS65575 ADM65575:ADO65575 ANI65575:ANK65575 AXE65575:AXG65575 BHA65575:BHC65575 BQW65575:BQY65575 CAS65575:CAU65575 CKO65575:CKQ65575 CUK65575:CUM65575 DEG65575:DEI65575 DOC65575:DOE65575 DXY65575:DYA65575 EHU65575:EHW65575 ERQ65575:ERS65575 FBM65575:FBO65575 FLI65575:FLK65575 FVE65575:FVG65575 GFA65575:GFC65575 GOW65575:GOY65575 GYS65575:GYU65575 HIO65575:HIQ65575 HSK65575:HSM65575 ICG65575:ICI65575 IMC65575:IME65575 IVY65575:IWA65575 JFU65575:JFW65575 JPQ65575:JPS65575 JZM65575:JZO65575 KJI65575:KJK65575 KTE65575:KTG65575 LDA65575:LDC65575 LMW65575:LMY65575 LWS65575:LWU65575 MGO65575:MGQ65575 MQK65575:MQM65575 NAG65575:NAI65575 NKC65575:NKE65575 NTY65575:NUA65575 ODU65575:ODW65575 ONQ65575:ONS65575 OXM65575:OXO65575 PHI65575:PHK65575 PRE65575:PRG65575 QBA65575:QBC65575 QKW65575:QKY65575 QUS65575:QUU65575 REO65575:REQ65575 ROK65575:ROM65575 RYG65575:RYI65575 SIC65575:SIE65575 SRY65575:SSA65575 TBU65575:TBW65575 TLQ65575:TLS65575 TVM65575:TVO65575 UFI65575:UFK65575 UPE65575:UPG65575 UZA65575:UZC65575 VIW65575:VIY65575 VSS65575:VSU65575 WCO65575:WCQ65575 WMK65575:WMM65575 WWG65575:WWI65575 Y131111:AA131111 JU131111:JW131111 TQ131111:TS131111 ADM131111:ADO131111 ANI131111:ANK131111 AXE131111:AXG131111 BHA131111:BHC131111 BQW131111:BQY131111 CAS131111:CAU131111 CKO131111:CKQ131111 CUK131111:CUM131111 DEG131111:DEI131111 DOC131111:DOE131111 DXY131111:DYA131111 EHU131111:EHW131111 ERQ131111:ERS131111 FBM131111:FBO131111 FLI131111:FLK131111 FVE131111:FVG131111 GFA131111:GFC131111 GOW131111:GOY131111 GYS131111:GYU131111 HIO131111:HIQ131111 HSK131111:HSM131111 ICG131111:ICI131111 IMC131111:IME131111 IVY131111:IWA131111 JFU131111:JFW131111 JPQ131111:JPS131111 JZM131111:JZO131111 KJI131111:KJK131111 KTE131111:KTG131111 LDA131111:LDC131111 LMW131111:LMY131111 LWS131111:LWU131111 MGO131111:MGQ131111 MQK131111:MQM131111 NAG131111:NAI131111 NKC131111:NKE131111 NTY131111:NUA131111 ODU131111:ODW131111 ONQ131111:ONS131111 OXM131111:OXO131111 PHI131111:PHK131111 PRE131111:PRG131111 QBA131111:QBC131111 QKW131111:QKY131111 QUS131111:QUU131111 REO131111:REQ131111 ROK131111:ROM131111 RYG131111:RYI131111 SIC131111:SIE131111 SRY131111:SSA131111 TBU131111:TBW131111 TLQ131111:TLS131111 TVM131111:TVO131111 UFI131111:UFK131111 UPE131111:UPG131111 UZA131111:UZC131111 VIW131111:VIY131111 VSS131111:VSU131111 WCO131111:WCQ131111 WMK131111:WMM131111 WWG131111:WWI131111 Y196647:AA196647 JU196647:JW196647 TQ196647:TS196647 ADM196647:ADO196647 ANI196647:ANK196647 AXE196647:AXG196647 BHA196647:BHC196647 BQW196647:BQY196647 CAS196647:CAU196647 CKO196647:CKQ196647 CUK196647:CUM196647 DEG196647:DEI196647 DOC196647:DOE196647 DXY196647:DYA196647 EHU196647:EHW196647 ERQ196647:ERS196647 FBM196647:FBO196647 FLI196647:FLK196647 FVE196647:FVG196647 GFA196647:GFC196647 GOW196647:GOY196647 GYS196647:GYU196647 HIO196647:HIQ196647 HSK196647:HSM196647 ICG196647:ICI196647 IMC196647:IME196647 IVY196647:IWA196647 JFU196647:JFW196647 JPQ196647:JPS196647 JZM196647:JZO196647 KJI196647:KJK196647 KTE196647:KTG196647 LDA196647:LDC196647 LMW196647:LMY196647 LWS196647:LWU196647 MGO196647:MGQ196647 MQK196647:MQM196647 NAG196647:NAI196647 NKC196647:NKE196647 NTY196647:NUA196647 ODU196647:ODW196647 ONQ196647:ONS196647 OXM196647:OXO196647 PHI196647:PHK196647 PRE196647:PRG196647 QBA196647:QBC196647 QKW196647:QKY196647 QUS196647:QUU196647 REO196647:REQ196647 ROK196647:ROM196647 RYG196647:RYI196647 SIC196647:SIE196647 SRY196647:SSA196647 TBU196647:TBW196647 TLQ196647:TLS196647 TVM196647:TVO196647 UFI196647:UFK196647 UPE196647:UPG196647 UZA196647:UZC196647 VIW196647:VIY196647 VSS196647:VSU196647 WCO196647:WCQ196647 WMK196647:WMM196647 WWG196647:WWI196647 Y262183:AA262183 JU262183:JW262183 TQ262183:TS262183 ADM262183:ADO262183 ANI262183:ANK262183 AXE262183:AXG262183 BHA262183:BHC262183 BQW262183:BQY262183 CAS262183:CAU262183 CKO262183:CKQ262183 CUK262183:CUM262183 DEG262183:DEI262183 DOC262183:DOE262183 DXY262183:DYA262183 EHU262183:EHW262183 ERQ262183:ERS262183 FBM262183:FBO262183 FLI262183:FLK262183 FVE262183:FVG262183 GFA262183:GFC262183 GOW262183:GOY262183 GYS262183:GYU262183 HIO262183:HIQ262183 HSK262183:HSM262183 ICG262183:ICI262183 IMC262183:IME262183 IVY262183:IWA262183 JFU262183:JFW262183 JPQ262183:JPS262183 JZM262183:JZO262183 KJI262183:KJK262183 KTE262183:KTG262183 LDA262183:LDC262183 LMW262183:LMY262183 LWS262183:LWU262183 MGO262183:MGQ262183 MQK262183:MQM262183 NAG262183:NAI262183 NKC262183:NKE262183 NTY262183:NUA262183 ODU262183:ODW262183 ONQ262183:ONS262183 OXM262183:OXO262183 PHI262183:PHK262183 PRE262183:PRG262183 QBA262183:QBC262183 QKW262183:QKY262183 QUS262183:QUU262183 REO262183:REQ262183 ROK262183:ROM262183 RYG262183:RYI262183 SIC262183:SIE262183 SRY262183:SSA262183 TBU262183:TBW262183 TLQ262183:TLS262183 TVM262183:TVO262183 UFI262183:UFK262183 UPE262183:UPG262183 UZA262183:UZC262183 VIW262183:VIY262183 VSS262183:VSU262183 WCO262183:WCQ262183 WMK262183:WMM262183 WWG262183:WWI262183 Y327719:AA327719 JU327719:JW327719 TQ327719:TS327719 ADM327719:ADO327719 ANI327719:ANK327719 AXE327719:AXG327719 BHA327719:BHC327719 BQW327719:BQY327719 CAS327719:CAU327719 CKO327719:CKQ327719 CUK327719:CUM327719 DEG327719:DEI327719 DOC327719:DOE327719 DXY327719:DYA327719 EHU327719:EHW327719 ERQ327719:ERS327719 FBM327719:FBO327719 FLI327719:FLK327719 FVE327719:FVG327719 GFA327719:GFC327719 GOW327719:GOY327719 GYS327719:GYU327719 HIO327719:HIQ327719 HSK327719:HSM327719 ICG327719:ICI327719 IMC327719:IME327719 IVY327719:IWA327719 JFU327719:JFW327719 JPQ327719:JPS327719 JZM327719:JZO327719 KJI327719:KJK327719 KTE327719:KTG327719 LDA327719:LDC327719 LMW327719:LMY327719 LWS327719:LWU327719 MGO327719:MGQ327719 MQK327719:MQM327719 NAG327719:NAI327719 NKC327719:NKE327719 NTY327719:NUA327719 ODU327719:ODW327719 ONQ327719:ONS327719 OXM327719:OXO327719 PHI327719:PHK327719 PRE327719:PRG327719 QBA327719:QBC327719 QKW327719:QKY327719 QUS327719:QUU327719 REO327719:REQ327719 ROK327719:ROM327719 RYG327719:RYI327719 SIC327719:SIE327719 SRY327719:SSA327719 TBU327719:TBW327719 TLQ327719:TLS327719 TVM327719:TVO327719 UFI327719:UFK327719 UPE327719:UPG327719 UZA327719:UZC327719 VIW327719:VIY327719 VSS327719:VSU327719 WCO327719:WCQ327719 WMK327719:WMM327719 WWG327719:WWI327719 Y393255:AA393255 JU393255:JW393255 TQ393255:TS393255 ADM393255:ADO393255 ANI393255:ANK393255 AXE393255:AXG393255 BHA393255:BHC393255 BQW393255:BQY393255 CAS393255:CAU393255 CKO393255:CKQ393255 CUK393255:CUM393255 DEG393255:DEI393255 DOC393255:DOE393255 DXY393255:DYA393255 EHU393255:EHW393255 ERQ393255:ERS393255 FBM393255:FBO393255 FLI393255:FLK393255 FVE393255:FVG393255 GFA393255:GFC393255 GOW393255:GOY393255 GYS393255:GYU393255 HIO393255:HIQ393255 HSK393255:HSM393255 ICG393255:ICI393255 IMC393255:IME393255 IVY393255:IWA393255 JFU393255:JFW393255 JPQ393255:JPS393255 JZM393255:JZO393255 KJI393255:KJK393255 KTE393255:KTG393255 LDA393255:LDC393255 LMW393255:LMY393255 LWS393255:LWU393255 MGO393255:MGQ393255 MQK393255:MQM393255 NAG393255:NAI393255 NKC393255:NKE393255 NTY393255:NUA393255 ODU393255:ODW393255 ONQ393255:ONS393255 OXM393255:OXO393255 PHI393255:PHK393255 PRE393255:PRG393255 QBA393255:QBC393255 QKW393255:QKY393255 QUS393255:QUU393255 REO393255:REQ393255 ROK393255:ROM393255 RYG393255:RYI393255 SIC393255:SIE393255 SRY393255:SSA393255 TBU393255:TBW393255 TLQ393255:TLS393255 TVM393255:TVO393255 UFI393255:UFK393255 UPE393255:UPG393255 UZA393255:UZC393255 VIW393255:VIY393255 VSS393255:VSU393255 WCO393255:WCQ393255 WMK393255:WMM393255 WWG393255:WWI393255 Y458791:AA458791 JU458791:JW458791 TQ458791:TS458791 ADM458791:ADO458791 ANI458791:ANK458791 AXE458791:AXG458791 BHA458791:BHC458791 BQW458791:BQY458791 CAS458791:CAU458791 CKO458791:CKQ458791 CUK458791:CUM458791 DEG458791:DEI458791 DOC458791:DOE458791 DXY458791:DYA458791 EHU458791:EHW458791 ERQ458791:ERS458791 FBM458791:FBO458791 FLI458791:FLK458791 FVE458791:FVG458791 GFA458791:GFC458791 GOW458791:GOY458791 GYS458791:GYU458791 HIO458791:HIQ458791 HSK458791:HSM458791 ICG458791:ICI458791 IMC458791:IME458791 IVY458791:IWA458791 JFU458791:JFW458791 JPQ458791:JPS458791 JZM458791:JZO458791 KJI458791:KJK458791 KTE458791:KTG458791 LDA458791:LDC458791 LMW458791:LMY458791 LWS458791:LWU458791 MGO458791:MGQ458791 MQK458791:MQM458791 NAG458791:NAI458791 NKC458791:NKE458791 NTY458791:NUA458791 ODU458791:ODW458791 ONQ458791:ONS458791 OXM458791:OXO458791 PHI458791:PHK458791 PRE458791:PRG458791 QBA458791:QBC458791 QKW458791:QKY458791 QUS458791:QUU458791 REO458791:REQ458791 ROK458791:ROM458791 RYG458791:RYI458791 SIC458791:SIE458791 SRY458791:SSA458791 TBU458791:TBW458791 TLQ458791:TLS458791 TVM458791:TVO458791 UFI458791:UFK458791 UPE458791:UPG458791 UZA458791:UZC458791 VIW458791:VIY458791 VSS458791:VSU458791 WCO458791:WCQ458791 WMK458791:WMM458791 WWG458791:WWI458791 Y524327:AA524327 JU524327:JW524327 TQ524327:TS524327 ADM524327:ADO524327 ANI524327:ANK524327 AXE524327:AXG524327 BHA524327:BHC524327 BQW524327:BQY524327 CAS524327:CAU524327 CKO524327:CKQ524327 CUK524327:CUM524327 DEG524327:DEI524327 DOC524327:DOE524327 DXY524327:DYA524327 EHU524327:EHW524327 ERQ524327:ERS524327 FBM524327:FBO524327 FLI524327:FLK524327 FVE524327:FVG524327 GFA524327:GFC524327 GOW524327:GOY524327 GYS524327:GYU524327 HIO524327:HIQ524327 HSK524327:HSM524327 ICG524327:ICI524327 IMC524327:IME524327 IVY524327:IWA524327 JFU524327:JFW524327 JPQ524327:JPS524327 JZM524327:JZO524327 KJI524327:KJK524327 KTE524327:KTG524327 LDA524327:LDC524327 LMW524327:LMY524327 LWS524327:LWU524327 MGO524327:MGQ524327 MQK524327:MQM524327 NAG524327:NAI524327 NKC524327:NKE524327 NTY524327:NUA524327 ODU524327:ODW524327 ONQ524327:ONS524327 OXM524327:OXO524327 PHI524327:PHK524327 PRE524327:PRG524327 QBA524327:QBC524327 QKW524327:QKY524327 QUS524327:QUU524327 REO524327:REQ524327 ROK524327:ROM524327 RYG524327:RYI524327 SIC524327:SIE524327 SRY524327:SSA524327 TBU524327:TBW524327 TLQ524327:TLS524327 TVM524327:TVO524327 UFI524327:UFK524327 UPE524327:UPG524327 UZA524327:UZC524327 VIW524327:VIY524327 VSS524327:VSU524327 WCO524327:WCQ524327 WMK524327:WMM524327 WWG524327:WWI524327 Y589863:AA589863 JU589863:JW589863 TQ589863:TS589863 ADM589863:ADO589863 ANI589863:ANK589863 AXE589863:AXG589863 BHA589863:BHC589863 BQW589863:BQY589863 CAS589863:CAU589863 CKO589863:CKQ589863 CUK589863:CUM589863 DEG589863:DEI589863 DOC589863:DOE589863 DXY589863:DYA589863 EHU589863:EHW589863 ERQ589863:ERS589863 FBM589863:FBO589863 FLI589863:FLK589863 FVE589863:FVG589863 GFA589863:GFC589863 GOW589863:GOY589863 GYS589863:GYU589863 HIO589863:HIQ589863 HSK589863:HSM589863 ICG589863:ICI589863 IMC589863:IME589863 IVY589863:IWA589863 JFU589863:JFW589863 JPQ589863:JPS589863 JZM589863:JZO589863 KJI589863:KJK589863 KTE589863:KTG589863 LDA589863:LDC589863 LMW589863:LMY589863 LWS589863:LWU589863 MGO589863:MGQ589863 MQK589863:MQM589863 NAG589863:NAI589863 NKC589863:NKE589863 NTY589863:NUA589863 ODU589863:ODW589863 ONQ589863:ONS589863 OXM589863:OXO589863 PHI589863:PHK589863 PRE589863:PRG589863 QBA589863:QBC589863 QKW589863:QKY589863 QUS589863:QUU589863 REO589863:REQ589863 ROK589863:ROM589863 RYG589863:RYI589863 SIC589863:SIE589863 SRY589863:SSA589863 TBU589863:TBW589863 TLQ589863:TLS589863 TVM589863:TVO589863 UFI589863:UFK589863 UPE589863:UPG589863 UZA589863:UZC589863 VIW589863:VIY589863 VSS589863:VSU589863 WCO589863:WCQ589863 WMK589863:WMM589863 WWG589863:WWI589863 Y655399:AA655399 JU655399:JW655399 TQ655399:TS655399 ADM655399:ADO655399 ANI655399:ANK655399 AXE655399:AXG655399 BHA655399:BHC655399 BQW655399:BQY655399 CAS655399:CAU655399 CKO655399:CKQ655399 CUK655399:CUM655399 DEG655399:DEI655399 DOC655399:DOE655399 DXY655399:DYA655399 EHU655399:EHW655399 ERQ655399:ERS655399 FBM655399:FBO655399 FLI655399:FLK655399 FVE655399:FVG655399 GFA655399:GFC655399 GOW655399:GOY655399 GYS655399:GYU655399 HIO655399:HIQ655399 HSK655399:HSM655399 ICG655399:ICI655399 IMC655399:IME655399 IVY655399:IWA655399 JFU655399:JFW655399 JPQ655399:JPS655399 JZM655399:JZO655399 KJI655399:KJK655399 KTE655399:KTG655399 LDA655399:LDC655399 LMW655399:LMY655399 LWS655399:LWU655399 MGO655399:MGQ655399 MQK655399:MQM655399 NAG655399:NAI655399 NKC655399:NKE655399 NTY655399:NUA655399 ODU655399:ODW655399 ONQ655399:ONS655399 OXM655399:OXO655399 PHI655399:PHK655399 PRE655399:PRG655399 QBA655399:QBC655399 QKW655399:QKY655399 QUS655399:QUU655399 REO655399:REQ655399 ROK655399:ROM655399 RYG655399:RYI655399 SIC655399:SIE655399 SRY655399:SSA655399 TBU655399:TBW655399 TLQ655399:TLS655399 TVM655399:TVO655399 UFI655399:UFK655399 UPE655399:UPG655399 UZA655399:UZC655399 VIW655399:VIY655399 VSS655399:VSU655399 WCO655399:WCQ655399 WMK655399:WMM655399 WWG655399:WWI655399 Y720935:AA720935 JU720935:JW720935 TQ720935:TS720935 ADM720935:ADO720935 ANI720935:ANK720935 AXE720935:AXG720935 BHA720935:BHC720935 BQW720935:BQY720935 CAS720935:CAU720935 CKO720935:CKQ720935 CUK720935:CUM720935 DEG720935:DEI720935 DOC720935:DOE720935 DXY720935:DYA720935 EHU720935:EHW720935 ERQ720935:ERS720935 FBM720935:FBO720935 FLI720935:FLK720935 FVE720935:FVG720935 GFA720935:GFC720935 GOW720935:GOY720935 GYS720935:GYU720935 HIO720935:HIQ720935 HSK720935:HSM720935 ICG720935:ICI720935 IMC720935:IME720935 IVY720935:IWA720935 JFU720935:JFW720935 JPQ720935:JPS720935 JZM720935:JZO720935 KJI720935:KJK720935 KTE720935:KTG720935 LDA720935:LDC720935 LMW720935:LMY720935 LWS720935:LWU720935 MGO720935:MGQ720935 MQK720935:MQM720935 NAG720935:NAI720935 NKC720935:NKE720935 NTY720935:NUA720935 ODU720935:ODW720935 ONQ720935:ONS720935 OXM720935:OXO720935 PHI720935:PHK720935 PRE720935:PRG720935 QBA720935:QBC720935 QKW720935:QKY720935 QUS720935:QUU720935 REO720935:REQ720935 ROK720935:ROM720935 RYG720935:RYI720935 SIC720935:SIE720935 SRY720935:SSA720935 TBU720935:TBW720935 TLQ720935:TLS720935 TVM720935:TVO720935 UFI720935:UFK720935 UPE720935:UPG720935 UZA720935:UZC720935 VIW720935:VIY720935 VSS720935:VSU720935 WCO720935:WCQ720935 WMK720935:WMM720935 WWG720935:WWI720935 Y786471:AA786471 JU786471:JW786471 TQ786471:TS786471 ADM786471:ADO786471 ANI786471:ANK786471 AXE786471:AXG786471 BHA786471:BHC786471 BQW786471:BQY786471 CAS786471:CAU786471 CKO786471:CKQ786471 CUK786471:CUM786471 DEG786471:DEI786471 DOC786471:DOE786471 DXY786471:DYA786471 EHU786471:EHW786471 ERQ786471:ERS786471 FBM786471:FBO786471 FLI786471:FLK786471 FVE786471:FVG786471 GFA786471:GFC786471 GOW786471:GOY786471 GYS786471:GYU786471 HIO786471:HIQ786471 HSK786471:HSM786471 ICG786471:ICI786471 IMC786471:IME786471 IVY786471:IWA786471 JFU786471:JFW786471 JPQ786471:JPS786471 JZM786471:JZO786471 KJI786471:KJK786471 KTE786471:KTG786471 LDA786471:LDC786471 LMW786471:LMY786471 LWS786471:LWU786471 MGO786471:MGQ786471 MQK786471:MQM786471 NAG786471:NAI786471 NKC786471:NKE786471 NTY786471:NUA786471 ODU786471:ODW786471 ONQ786471:ONS786471 OXM786471:OXO786471 PHI786471:PHK786471 PRE786471:PRG786471 QBA786471:QBC786471 QKW786471:QKY786471 QUS786471:QUU786471 REO786471:REQ786471 ROK786471:ROM786471 RYG786471:RYI786471 SIC786471:SIE786471 SRY786471:SSA786471 TBU786471:TBW786471 TLQ786471:TLS786471 TVM786471:TVO786471 UFI786471:UFK786471 UPE786471:UPG786471 UZA786471:UZC786471 VIW786471:VIY786471 VSS786471:VSU786471 WCO786471:WCQ786471 WMK786471:WMM786471 WWG786471:WWI786471 Y852007:AA852007 JU852007:JW852007 TQ852007:TS852007 ADM852007:ADO852007 ANI852007:ANK852007 AXE852007:AXG852007 BHA852007:BHC852007 BQW852007:BQY852007 CAS852007:CAU852007 CKO852007:CKQ852007 CUK852007:CUM852007 DEG852007:DEI852007 DOC852007:DOE852007 DXY852007:DYA852007 EHU852007:EHW852007 ERQ852007:ERS852007 FBM852007:FBO852007 FLI852007:FLK852007 FVE852007:FVG852007 GFA852007:GFC852007 GOW852007:GOY852007 GYS852007:GYU852007 HIO852007:HIQ852007 HSK852007:HSM852007 ICG852007:ICI852007 IMC852007:IME852007 IVY852007:IWA852007 JFU852007:JFW852007 JPQ852007:JPS852007 JZM852007:JZO852007 KJI852007:KJK852007 KTE852007:KTG852007 LDA852007:LDC852007 LMW852007:LMY852007 LWS852007:LWU852007 MGO852007:MGQ852007 MQK852007:MQM852007 NAG852007:NAI852007 NKC852007:NKE852007 NTY852007:NUA852007 ODU852007:ODW852007 ONQ852007:ONS852007 OXM852007:OXO852007 PHI852007:PHK852007 PRE852007:PRG852007 QBA852007:QBC852007 QKW852007:QKY852007 QUS852007:QUU852007 REO852007:REQ852007 ROK852007:ROM852007 RYG852007:RYI852007 SIC852007:SIE852007 SRY852007:SSA852007 TBU852007:TBW852007 TLQ852007:TLS852007 TVM852007:TVO852007 UFI852007:UFK852007 UPE852007:UPG852007 UZA852007:UZC852007 VIW852007:VIY852007 VSS852007:VSU852007 WCO852007:WCQ852007 WMK852007:WMM852007 WWG852007:WWI852007 Y917543:AA917543 JU917543:JW917543 TQ917543:TS917543 ADM917543:ADO917543 ANI917543:ANK917543 AXE917543:AXG917543 BHA917543:BHC917543 BQW917543:BQY917543 CAS917543:CAU917543 CKO917543:CKQ917543 CUK917543:CUM917543 DEG917543:DEI917543 DOC917543:DOE917543 DXY917543:DYA917543 EHU917543:EHW917543 ERQ917543:ERS917543 FBM917543:FBO917543 FLI917543:FLK917543 FVE917543:FVG917543 GFA917543:GFC917543 GOW917543:GOY917543 GYS917543:GYU917543 HIO917543:HIQ917543 HSK917543:HSM917543 ICG917543:ICI917543 IMC917543:IME917543 IVY917543:IWA917543 JFU917543:JFW917543 JPQ917543:JPS917543 JZM917543:JZO917543 KJI917543:KJK917543 KTE917543:KTG917543 LDA917543:LDC917543 LMW917543:LMY917543 LWS917543:LWU917543 MGO917543:MGQ917543 MQK917543:MQM917543 NAG917543:NAI917543 NKC917543:NKE917543 NTY917543:NUA917543 ODU917543:ODW917543 ONQ917543:ONS917543 OXM917543:OXO917543 PHI917543:PHK917543 PRE917543:PRG917543 QBA917543:QBC917543 QKW917543:QKY917543 QUS917543:QUU917543 REO917543:REQ917543 ROK917543:ROM917543 RYG917543:RYI917543 SIC917543:SIE917543 SRY917543:SSA917543 TBU917543:TBW917543 TLQ917543:TLS917543 TVM917543:TVO917543 UFI917543:UFK917543 UPE917543:UPG917543 UZA917543:UZC917543 VIW917543:VIY917543 VSS917543:VSU917543 WCO917543:WCQ917543 WMK917543:WMM917543 WWG917543:WWI917543 Y983079:AA983079 JU983079:JW983079 TQ983079:TS983079 ADM983079:ADO983079 ANI983079:ANK983079 AXE983079:AXG983079 BHA983079:BHC983079 BQW983079:BQY983079 CAS983079:CAU983079 CKO983079:CKQ983079 CUK983079:CUM983079 DEG983079:DEI983079 DOC983079:DOE983079 DXY983079:DYA983079 EHU983079:EHW983079 ERQ983079:ERS983079 FBM983079:FBO983079 FLI983079:FLK983079 FVE983079:FVG983079 GFA983079:GFC983079 GOW983079:GOY983079 GYS983079:GYU983079 HIO983079:HIQ983079 HSK983079:HSM983079 ICG983079:ICI983079 IMC983079:IME983079 IVY983079:IWA983079 JFU983079:JFW983079 JPQ983079:JPS983079 JZM983079:JZO983079 KJI983079:KJK983079 KTE983079:KTG983079 LDA983079:LDC983079 LMW983079:LMY983079 LWS983079:LWU983079 MGO983079:MGQ983079 MQK983079:MQM983079 NAG983079:NAI983079 NKC983079:NKE983079 NTY983079:NUA983079 ODU983079:ODW983079 ONQ983079:ONS983079 OXM983079:OXO983079 PHI983079:PHK983079 PRE983079:PRG983079 QBA983079:QBC983079 QKW983079:QKY983079 QUS983079:QUU983079 REO983079:REQ983079 ROK983079:ROM983079 RYG983079:RYI983079 SIC983079:SIE983079 SRY983079:SSA983079 TBU983079:TBW983079 TLQ983079:TLS983079 TVM983079:TVO983079 UFI983079:UFK983079 UPE983079:UPG983079 UZA983079:UZC983079 VIW983079:VIY983079 VSS983079:VSU983079 WCO983079:WCQ983079 WMK983079:WMM983079 WWG983079:WWI983079 AG6 KC6 TY6 ADU6 ANQ6 AXM6 BHI6 BRE6 CBA6 CKW6 CUS6 DEO6 DOK6 DYG6 EIC6 ERY6 FBU6 FLQ6 FVM6 GFI6 GPE6 GZA6 HIW6 HSS6 ICO6 IMK6 IWG6 JGC6 JPY6 JZU6 KJQ6 KTM6 LDI6 LNE6 LXA6 MGW6 MQS6 NAO6 NKK6 NUG6 OEC6 ONY6 OXU6 PHQ6 PRM6 QBI6 QLE6 QVA6 REW6 ROS6 RYO6 SIK6 SSG6 TCC6 TLY6 TVU6 UFQ6 UPM6 UZI6 VJE6 VTA6 WCW6 WMS6 WWO6 AG65542 KC65542 TY65542 ADU65542 ANQ65542 AXM65542 BHI65542 BRE65542 CBA65542 CKW65542 CUS65542 DEO65542 DOK65542 DYG65542 EIC65542 ERY65542 FBU65542 FLQ65542 FVM65542 GFI65542 GPE65542 GZA65542 HIW65542 HSS65542 ICO65542 IMK65542 IWG65542 JGC65542 JPY65542 JZU65542 KJQ65542 KTM65542 LDI65542 LNE65542 LXA65542 MGW65542 MQS65542 NAO65542 NKK65542 NUG65542 OEC65542 ONY65542 OXU65542 PHQ65542 PRM65542 QBI65542 QLE65542 QVA65542 REW65542 ROS65542 RYO65542 SIK65542 SSG65542 TCC65542 TLY65542 TVU65542 UFQ65542 UPM65542 UZI65542 VJE65542 VTA65542 WCW65542 WMS65542 WWO65542 AG131078 KC131078 TY131078 ADU131078 ANQ131078 AXM131078 BHI131078 BRE131078 CBA131078 CKW131078 CUS131078 DEO131078 DOK131078 DYG131078 EIC131078 ERY131078 FBU131078 FLQ131078 FVM131078 GFI131078 GPE131078 GZA131078 HIW131078 HSS131078 ICO131078 IMK131078 IWG131078 JGC131078 JPY131078 JZU131078 KJQ131078 KTM131078 LDI131078 LNE131078 LXA131078 MGW131078 MQS131078 NAO131078 NKK131078 NUG131078 OEC131078 ONY131078 OXU131078 PHQ131078 PRM131078 QBI131078 QLE131078 QVA131078 REW131078 ROS131078 RYO131078 SIK131078 SSG131078 TCC131078 TLY131078 TVU131078 UFQ131078 UPM131078 UZI131078 VJE131078 VTA131078 WCW131078 WMS131078 WWO131078 AG196614 KC196614 TY196614 ADU196614 ANQ196614 AXM196614 BHI196614 BRE196614 CBA196614 CKW196614 CUS196614 DEO196614 DOK196614 DYG196614 EIC196614 ERY196614 FBU196614 FLQ196614 FVM196614 GFI196614 GPE196614 GZA196614 HIW196614 HSS196614 ICO196614 IMK196614 IWG196614 JGC196614 JPY196614 JZU196614 KJQ196614 KTM196614 LDI196614 LNE196614 LXA196614 MGW196614 MQS196614 NAO196614 NKK196614 NUG196614 OEC196614 ONY196614 OXU196614 PHQ196614 PRM196614 QBI196614 QLE196614 QVA196614 REW196614 ROS196614 RYO196614 SIK196614 SSG196614 TCC196614 TLY196614 TVU196614 UFQ196614 UPM196614 UZI196614 VJE196614 VTA196614 WCW196614 WMS196614 WWO196614 AG262150 KC262150 TY262150 ADU262150 ANQ262150 AXM262150 BHI262150 BRE262150 CBA262150 CKW262150 CUS262150 DEO262150 DOK262150 DYG262150 EIC262150 ERY262150 FBU262150 FLQ262150 FVM262150 GFI262150 GPE262150 GZA262150 HIW262150 HSS262150 ICO262150 IMK262150 IWG262150 JGC262150 JPY262150 JZU262150 KJQ262150 KTM262150 LDI262150 LNE262150 LXA262150 MGW262150 MQS262150 NAO262150 NKK262150 NUG262150 OEC262150 ONY262150 OXU262150 PHQ262150 PRM262150 QBI262150 QLE262150 QVA262150 REW262150 ROS262150 RYO262150 SIK262150 SSG262150 TCC262150 TLY262150 TVU262150 UFQ262150 UPM262150 UZI262150 VJE262150 VTA262150 WCW262150 WMS262150 WWO262150 AG327686 KC327686 TY327686 ADU327686 ANQ327686 AXM327686 BHI327686 BRE327686 CBA327686 CKW327686 CUS327686 DEO327686 DOK327686 DYG327686 EIC327686 ERY327686 FBU327686 FLQ327686 FVM327686 GFI327686 GPE327686 GZA327686 HIW327686 HSS327686 ICO327686 IMK327686 IWG327686 JGC327686 JPY327686 JZU327686 KJQ327686 KTM327686 LDI327686 LNE327686 LXA327686 MGW327686 MQS327686 NAO327686 NKK327686 NUG327686 OEC327686 ONY327686 OXU327686 PHQ327686 PRM327686 QBI327686 QLE327686 QVA327686 REW327686 ROS327686 RYO327686 SIK327686 SSG327686 TCC327686 TLY327686 TVU327686 UFQ327686 UPM327686 UZI327686 VJE327686 VTA327686 WCW327686 WMS327686 WWO327686 AG393222 KC393222 TY393222 ADU393222 ANQ393222 AXM393222 BHI393222 BRE393222 CBA393222 CKW393222 CUS393222 DEO393222 DOK393222 DYG393222 EIC393222 ERY393222 FBU393222 FLQ393222 FVM393222 GFI393222 GPE393222 GZA393222 HIW393222 HSS393222 ICO393222 IMK393222 IWG393222 JGC393222 JPY393222 JZU393222 KJQ393222 KTM393222 LDI393222 LNE393222 LXA393222 MGW393222 MQS393222 NAO393222 NKK393222 NUG393222 OEC393222 ONY393222 OXU393222 PHQ393222 PRM393222 QBI393222 QLE393222 QVA393222 REW393222 ROS393222 RYO393222 SIK393222 SSG393222 TCC393222 TLY393222 TVU393222 UFQ393222 UPM393222 UZI393222 VJE393222 VTA393222 WCW393222 WMS393222 WWO393222 AG458758 KC458758 TY458758 ADU458758 ANQ458758 AXM458758 BHI458758 BRE458758 CBA458758 CKW458758 CUS458758 DEO458758 DOK458758 DYG458758 EIC458758 ERY458758 FBU458758 FLQ458758 FVM458758 GFI458758 GPE458758 GZA458758 HIW458758 HSS458758 ICO458758 IMK458758 IWG458758 JGC458758 JPY458758 JZU458758 KJQ458758 KTM458758 LDI458758 LNE458758 LXA458758 MGW458758 MQS458758 NAO458758 NKK458758 NUG458758 OEC458758 ONY458758 OXU458758 PHQ458758 PRM458758 QBI458758 QLE458758 QVA458758 REW458758 ROS458758 RYO458758 SIK458758 SSG458758 TCC458758 TLY458758 TVU458758 UFQ458758 UPM458758 UZI458758 VJE458758 VTA458758 WCW458758 WMS458758 WWO458758 AG524294 KC524294 TY524294 ADU524294 ANQ524294 AXM524294 BHI524294 BRE524294 CBA524294 CKW524294 CUS524294 DEO524294 DOK524294 DYG524294 EIC524294 ERY524294 FBU524294 FLQ524294 FVM524294 GFI524294 GPE524294 GZA524294 HIW524294 HSS524294 ICO524294 IMK524294 IWG524294 JGC524294 JPY524294 JZU524294 KJQ524294 KTM524294 LDI524294 LNE524294 LXA524294 MGW524294 MQS524294 NAO524294 NKK524294 NUG524294 OEC524294 ONY524294 OXU524294 PHQ524294 PRM524294 QBI524294 QLE524294 QVA524294 REW524294 ROS524294 RYO524294 SIK524294 SSG524294 TCC524294 TLY524294 TVU524294 UFQ524294 UPM524294 UZI524294 VJE524294 VTA524294 WCW524294 WMS524294 WWO524294 AG589830 KC589830 TY589830 ADU589830 ANQ589830 AXM589830 BHI589830 BRE589830 CBA589830 CKW589830 CUS589830 DEO589830 DOK589830 DYG589830 EIC589830 ERY589830 FBU589830 FLQ589830 FVM589830 GFI589830 GPE589830 GZA589830 HIW589830 HSS589830 ICO589830 IMK589830 IWG589830 JGC589830 JPY589830 JZU589830 KJQ589830 KTM589830 LDI589830 LNE589830 LXA589830 MGW589830 MQS589830 NAO589830 NKK589830 NUG589830 OEC589830 ONY589830 OXU589830 PHQ589830 PRM589830 QBI589830 QLE589830 QVA589830 REW589830 ROS589830 RYO589830 SIK589830 SSG589830 TCC589830 TLY589830 TVU589830 UFQ589830 UPM589830 UZI589830 VJE589830 VTA589830 WCW589830 WMS589830 WWO589830 AG655366 KC655366 TY655366 ADU655366 ANQ655366 AXM655366 BHI655366 BRE655366 CBA655366 CKW655366 CUS655366 DEO655366 DOK655366 DYG655366 EIC655366 ERY655366 FBU655366 FLQ655366 FVM655366 GFI655366 GPE655366 GZA655366 HIW655366 HSS655366 ICO655366 IMK655366 IWG655366 JGC655366 JPY655366 JZU655366 KJQ655366 KTM655366 LDI655366 LNE655366 LXA655366 MGW655366 MQS655366 NAO655366 NKK655366 NUG655366 OEC655366 ONY655366 OXU655366 PHQ655366 PRM655366 QBI655366 QLE655366 QVA655366 REW655366 ROS655366 RYO655366 SIK655366 SSG655366 TCC655366 TLY655366 TVU655366 UFQ655366 UPM655366 UZI655366 VJE655366 VTA655366 WCW655366 WMS655366 WWO655366 AG720902 KC720902 TY720902 ADU720902 ANQ720902 AXM720902 BHI720902 BRE720902 CBA720902 CKW720902 CUS720902 DEO720902 DOK720902 DYG720902 EIC720902 ERY720902 FBU720902 FLQ720902 FVM720902 GFI720902 GPE720902 GZA720902 HIW720902 HSS720902 ICO720902 IMK720902 IWG720902 JGC720902 JPY720902 JZU720902 KJQ720902 KTM720902 LDI720902 LNE720902 LXA720902 MGW720902 MQS720902 NAO720902 NKK720902 NUG720902 OEC720902 ONY720902 OXU720902 PHQ720902 PRM720902 QBI720902 QLE720902 QVA720902 REW720902 ROS720902 RYO720902 SIK720902 SSG720902 TCC720902 TLY720902 TVU720902 UFQ720902 UPM720902 UZI720902 VJE720902 VTA720902 WCW720902 WMS720902 WWO720902 AG786438 KC786438 TY786438 ADU786438 ANQ786438 AXM786438 BHI786438 BRE786438 CBA786438 CKW786438 CUS786438 DEO786438 DOK786438 DYG786438 EIC786438 ERY786438 FBU786438 FLQ786438 FVM786438 GFI786438 GPE786438 GZA786438 HIW786438 HSS786438 ICO786438 IMK786438 IWG786438 JGC786438 JPY786438 JZU786438 KJQ786438 KTM786438 LDI786438 LNE786438 LXA786438 MGW786438 MQS786438 NAO786438 NKK786438 NUG786438 OEC786438 ONY786438 OXU786438 PHQ786438 PRM786438 QBI786438 QLE786438 QVA786438 REW786438 ROS786438 RYO786438 SIK786438 SSG786438 TCC786438 TLY786438 TVU786438 UFQ786438 UPM786438 UZI786438 VJE786438 VTA786438 WCW786438 WMS786438 WWO786438 AG851974 KC851974 TY851974 ADU851974 ANQ851974 AXM851974 BHI851974 BRE851974 CBA851974 CKW851974 CUS851974 DEO851974 DOK851974 DYG851974 EIC851974 ERY851974 FBU851974 FLQ851974 FVM851974 GFI851974 GPE851974 GZA851974 HIW851974 HSS851974 ICO851974 IMK851974 IWG851974 JGC851974 JPY851974 JZU851974 KJQ851974 KTM851974 LDI851974 LNE851974 LXA851974 MGW851974 MQS851974 NAO851974 NKK851974 NUG851974 OEC851974 ONY851974 OXU851974 PHQ851974 PRM851974 QBI851974 QLE851974 QVA851974 REW851974 ROS851974 RYO851974 SIK851974 SSG851974 TCC851974 TLY851974 TVU851974 UFQ851974 UPM851974 UZI851974 VJE851974 VTA851974 WCW851974 WMS851974 WWO851974 AG917510 KC917510 TY917510 ADU917510 ANQ917510 AXM917510 BHI917510 BRE917510 CBA917510 CKW917510 CUS917510 DEO917510 DOK917510 DYG917510 EIC917510 ERY917510 FBU917510 FLQ917510 FVM917510 GFI917510 GPE917510 GZA917510 HIW917510 HSS917510 ICO917510 IMK917510 IWG917510 JGC917510 JPY917510 JZU917510 KJQ917510 KTM917510 LDI917510 LNE917510 LXA917510 MGW917510 MQS917510 NAO917510 NKK917510 NUG917510 OEC917510 ONY917510 OXU917510 PHQ917510 PRM917510 QBI917510 QLE917510 QVA917510 REW917510 ROS917510 RYO917510 SIK917510 SSG917510 TCC917510 TLY917510 TVU917510 UFQ917510 UPM917510 UZI917510 VJE917510 VTA917510 WCW917510 WMS917510 WWO917510 AG983046 KC983046 TY983046 ADU983046 ANQ983046 AXM983046 BHI983046 BRE983046 CBA983046 CKW983046 CUS983046 DEO983046 DOK983046 DYG983046 EIC983046 ERY983046 FBU983046 FLQ983046 FVM983046 GFI983046 GPE983046 GZA983046 HIW983046 HSS983046 ICO983046 IMK983046 IWG983046 JGC983046 JPY983046 JZU983046 KJQ983046 KTM983046 LDI983046 LNE983046 LXA983046 MGW983046 MQS983046 NAO983046 NKK983046 NUG983046 OEC983046 ONY983046 OXU983046 PHQ983046 PRM983046 QBI983046 QLE983046 QVA983046 REW983046 ROS983046 RYO983046 SIK983046 SSG983046 TCC983046 TLY983046 TVU983046 UFQ983046 UPM983046 UZI983046 VJE983046 VTA983046 WCW983046 WMS983046 WWO983046 AB14:AC14 JX14:JY14 TT14:TU14 ADP14:ADQ14 ANL14:ANM14 AXH14:AXI14 BHD14:BHE14 BQZ14:BRA14 CAV14:CAW14 CKR14:CKS14 CUN14:CUO14 DEJ14:DEK14 DOF14:DOG14 DYB14:DYC14 EHX14:EHY14 ERT14:ERU14 FBP14:FBQ14 FLL14:FLM14 FVH14:FVI14 GFD14:GFE14 GOZ14:GPA14 GYV14:GYW14 HIR14:HIS14 HSN14:HSO14 ICJ14:ICK14 IMF14:IMG14 IWB14:IWC14 JFX14:JFY14 JPT14:JPU14 JZP14:JZQ14 KJL14:KJM14 KTH14:KTI14 LDD14:LDE14 LMZ14:LNA14 LWV14:LWW14 MGR14:MGS14 MQN14:MQO14 NAJ14:NAK14 NKF14:NKG14 NUB14:NUC14 ODX14:ODY14 ONT14:ONU14 OXP14:OXQ14 PHL14:PHM14 PRH14:PRI14 QBD14:QBE14 QKZ14:QLA14 QUV14:QUW14 RER14:RES14 RON14:ROO14 RYJ14:RYK14 SIF14:SIG14 SSB14:SSC14 TBX14:TBY14 TLT14:TLU14 TVP14:TVQ14 UFL14:UFM14 UPH14:UPI14 UZD14:UZE14 VIZ14:VJA14 VSV14:VSW14 WCR14:WCS14 WMN14:WMO14 WWJ14:WWK14 AB65550:AC65550 JX65550:JY65550 TT65550:TU65550 ADP65550:ADQ65550 ANL65550:ANM65550 AXH65550:AXI65550 BHD65550:BHE65550 BQZ65550:BRA65550 CAV65550:CAW65550 CKR65550:CKS65550 CUN65550:CUO65550 DEJ65550:DEK65550 DOF65550:DOG65550 DYB65550:DYC65550 EHX65550:EHY65550 ERT65550:ERU65550 FBP65550:FBQ65550 FLL65550:FLM65550 FVH65550:FVI65550 GFD65550:GFE65550 GOZ65550:GPA65550 GYV65550:GYW65550 HIR65550:HIS65550 HSN65550:HSO65550 ICJ65550:ICK65550 IMF65550:IMG65550 IWB65550:IWC65550 JFX65550:JFY65550 JPT65550:JPU65550 JZP65550:JZQ65550 KJL65550:KJM65550 KTH65550:KTI65550 LDD65550:LDE65550 LMZ65550:LNA65550 LWV65550:LWW65550 MGR65550:MGS65550 MQN65550:MQO65550 NAJ65550:NAK65550 NKF65550:NKG65550 NUB65550:NUC65550 ODX65550:ODY65550 ONT65550:ONU65550 OXP65550:OXQ65550 PHL65550:PHM65550 PRH65550:PRI65550 QBD65550:QBE65550 QKZ65550:QLA65550 QUV65550:QUW65550 RER65550:RES65550 RON65550:ROO65550 RYJ65550:RYK65550 SIF65550:SIG65550 SSB65550:SSC65550 TBX65550:TBY65550 TLT65550:TLU65550 TVP65550:TVQ65550 UFL65550:UFM65550 UPH65550:UPI65550 UZD65550:UZE65550 VIZ65550:VJA65550 VSV65550:VSW65550 WCR65550:WCS65550 WMN65550:WMO65550 WWJ65550:WWK65550 AB131086:AC131086 JX131086:JY131086 TT131086:TU131086 ADP131086:ADQ131086 ANL131086:ANM131086 AXH131086:AXI131086 BHD131086:BHE131086 BQZ131086:BRA131086 CAV131086:CAW131086 CKR131086:CKS131086 CUN131086:CUO131086 DEJ131086:DEK131086 DOF131086:DOG131086 DYB131086:DYC131086 EHX131086:EHY131086 ERT131086:ERU131086 FBP131086:FBQ131086 FLL131086:FLM131086 FVH131086:FVI131086 GFD131086:GFE131086 GOZ131086:GPA131086 GYV131086:GYW131086 HIR131086:HIS131086 HSN131086:HSO131086 ICJ131086:ICK131086 IMF131086:IMG131086 IWB131086:IWC131086 JFX131086:JFY131086 JPT131086:JPU131086 JZP131086:JZQ131086 KJL131086:KJM131086 KTH131086:KTI131086 LDD131086:LDE131086 LMZ131086:LNA131086 LWV131086:LWW131086 MGR131086:MGS131086 MQN131086:MQO131086 NAJ131086:NAK131086 NKF131086:NKG131086 NUB131086:NUC131086 ODX131086:ODY131086 ONT131086:ONU131086 OXP131086:OXQ131086 PHL131086:PHM131086 PRH131086:PRI131086 QBD131086:QBE131086 QKZ131086:QLA131086 QUV131086:QUW131086 RER131086:RES131086 RON131086:ROO131086 RYJ131086:RYK131086 SIF131086:SIG131086 SSB131086:SSC131086 TBX131086:TBY131086 TLT131086:TLU131086 TVP131086:TVQ131086 UFL131086:UFM131086 UPH131086:UPI131086 UZD131086:UZE131086 VIZ131086:VJA131086 VSV131086:VSW131086 WCR131086:WCS131086 WMN131086:WMO131086 WWJ131086:WWK131086 AB196622:AC196622 JX196622:JY196622 TT196622:TU196622 ADP196622:ADQ196622 ANL196622:ANM196622 AXH196622:AXI196622 BHD196622:BHE196622 BQZ196622:BRA196622 CAV196622:CAW196622 CKR196622:CKS196622 CUN196622:CUO196622 DEJ196622:DEK196622 DOF196622:DOG196622 DYB196622:DYC196622 EHX196622:EHY196622 ERT196622:ERU196622 FBP196622:FBQ196622 FLL196622:FLM196622 FVH196622:FVI196622 GFD196622:GFE196622 GOZ196622:GPA196622 GYV196622:GYW196622 HIR196622:HIS196622 HSN196622:HSO196622 ICJ196622:ICK196622 IMF196622:IMG196622 IWB196622:IWC196622 JFX196622:JFY196622 JPT196622:JPU196622 JZP196622:JZQ196622 KJL196622:KJM196622 KTH196622:KTI196622 LDD196622:LDE196622 LMZ196622:LNA196622 LWV196622:LWW196622 MGR196622:MGS196622 MQN196622:MQO196622 NAJ196622:NAK196622 NKF196622:NKG196622 NUB196622:NUC196622 ODX196622:ODY196622 ONT196622:ONU196622 OXP196622:OXQ196622 PHL196622:PHM196622 PRH196622:PRI196622 QBD196622:QBE196622 QKZ196622:QLA196622 QUV196622:QUW196622 RER196622:RES196622 RON196622:ROO196622 RYJ196622:RYK196622 SIF196622:SIG196622 SSB196622:SSC196622 TBX196622:TBY196622 TLT196622:TLU196622 TVP196622:TVQ196622 UFL196622:UFM196622 UPH196622:UPI196622 UZD196622:UZE196622 VIZ196622:VJA196622 VSV196622:VSW196622 WCR196622:WCS196622 WMN196622:WMO196622 WWJ196622:WWK196622 AB262158:AC262158 JX262158:JY262158 TT262158:TU262158 ADP262158:ADQ262158 ANL262158:ANM262158 AXH262158:AXI262158 BHD262158:BHE262158 BQZ262158:BRA262158 CAV262158:CAW262158 CKR262158:CKS262158 CUN262158:CUO262158 DEJ262158:DEK262158 DOF262158:DOG262158 DYB262158:DYC262158 EHX262158:EHY262158 ERT262158:ERU262158 FBP262158:FBQ262158 FLL262158:FLM262158 FVH262158:FVI262158 GFD262158:GFE262158 GOZ262158:GPA262158 GYV262158:GYW262158 HIR262158:HIS262158 HSN262158:HSO262158 ICJ262158:ICK262158 IMF262158:IMG262158 IWB262158:IWC262158 JFX262158:JFY262158 JPT262158:JPU262158 JZP262158:JZQ262158 KJL262158:KJM262158 KTH262158:KTI262158 LDD262158:LDE262158 LMZ262158:LNA262158 LWV262158:LWW262158 MGR262158:MGS262158 MQN262158:MQO262158 NAJ262158:NAK262158 NKF262158:NKG262158 NUB262158:NUC262158 ODX262158:ODY262158 ONT262158:ONU262158 OXP262158:OXQ262158 PHL262158:PHM262158 PRH262158:PRI262158 QBD262158:QBE262158 QKZ262158:QLA262158 QUV262158:QUW262158 RER262158:RES262158 RON262158:ROO262158 RYJ262158:RYK262158 SIF262158:SIG262158 SSB262158:SSC262158 TBX262158:TBY262158 TLT262158:TLU262158 TVP262158:TVQ262158 UFL262158:UFM262158 UPH262158:UPI262158 UZD262158:UZE262158 VIZ262158:VJA262158 VSV262158:VSW262158 WCR262158:WCS262158 WMN262158:WMO262158 WWJ262158:WWK262158 AB327694:AC327694 JX327694:JY327694 TT327694:TU327694 ADP327694:ADQ327694 ANL327694:ANM327694 AXH327694:AXI327694 BHD327694:BHE327694 BQZ327694:BRA327694 CAV327694:CAW327694 CKR327694:CKS327694 CUN327694:CUO327694 DEJ327694:DEK327694 DOF327694:DOG327694 DYB327694:DYC327694 EHX327694:EHY327694 ERT327694:ERU327694 FBP327694:FBQ327694 FLL327694:FLM327694 FVH327694:FVI327694 GFD327694:GFE327694 GOZ327694:GPA327694 GYV327694:GYW327694 HIR327694:HIS327694 HSN327694:HSO327694 ICJ327694:ICK327694 IMF327694:IMG327694 IWB327694:IWC327694 JFX327694:JFY327694 JPT327694:JPU327694 JZP327694:JZQ327694 KJL327694:KJM327694 KTH327694:KTI327694 LDD327694:LDE327694 LMZ327694:LNA327694 LWV327694:LWW327694 MGR327694:MGS327694 MQN327694:MQO327694 NAJ327694:NAK327694 NKF327694:NKG327694 NUB327694:NUC327694 ODX327694:ODY327694 ONT327694:ONU327694 OXP327694:OXQ327694 PHL327694:PHM327694 PRH327694:PRI327694 QBD327694:QBE327694 QKZ327694:QLA327694 QUV327694:QUW327694 RER327694:RES327694 RON327694:ROO327694 RYJ327694:RYK327694 SIF327694:SIG327694 SSB327694:SSC327694 TBX327694:TBY327694 TLT327694:TLU327694 TVP327694:TVQ327694 UFL327694:UFM327694 UPH327694:UPI327694 UZD327694:UZE327694 VIZ327694:VJA327694 VSV327694:VSW327694 WCR327694:WCS327694 WMN327694:WMO327694 WWJ327694:WWK327694 AB393230:AC393230 JX393230:JY393230 TT393230:TU393230 ADP393230:ADQ393230 ANL393230:ANM393230 AXH393230:AXI393230 BHD393230:BHE393230 BQZ393230:BRA393230 CAV393230:CAW393230 CKR393230:CKS393230 CUN393230:CUO393230 DEJ393230:DEK393230 DOF393230:DOG393230 DYB393230:DYC393230 EHX393230:EHY393230 ERT393230:ERU393230 FBP393230:FBQ393230 FLL393230:FLM393230 FVH393230:FVI393230 GFD393230:GFE393230 GOZ393230:GPA393230 GYV393230:GYW393230 HIR393230:HIS393230 HSN393230:HSO393230 ICJ393230:ICK393230 IMF393230:IMG393230 IWB393230:IWC393230 JFX393230:JFY393230 JPT393230:JPU393230 JZP393230:JZQ393230 KJL393230:KJM393230 KTH393230:KTI393230 LDD393230:LDE393230 LMZ393230:LNA393230 LWV393230:LWW393230 MGR393230:MGS393230 MQN393230:MQO393230 NAJ393230:NAK393230 NKF393230:NKG393230 NUB393230:NUC393230 ODX393230:ODY393230 ONT393230:ONU393230 OXP393230:OXQ393230 PHL393230:PHM393230 PRH393230:PRI393230 QBD393230:QBE393230 QKZ393230:QLA393230 QUV393230:QUW393230 RER393230:RES393230 RON393230:ROO393230 RYJ393230:RYK393230 SIF393230:SIG393230 SSB393230:SSC393230 TBX393230:TBY393230 TLT393230:TLU393230 TVP393230:TVQ393230 UFL393230:UFM393230 UPH393230:UPI393230 UZD393230:UZE393230 VIZ393230:VJA393230 VSV393230:VSW393230 WCR393230:WCS393230 WMN393230:WMO393230 WWJ393230:WWK393230 AB458766:AC458766 JX458766:JY458766 TT458766:TU458766 ADP458766:ADQ458766 ANL458766:ANM458766 AXH458766:AXI458766 BHD458766:BHE458766 BQZ458766:BRA458766 CAV458766:CAW458766 CKR458766:CKS458766 CUN458766:CUO458766 DEJ458766:DEK458766 DOF458766:DOG458766 DYB458766:DYC458766 EHX458766:EHY458766 ERT458766:ERU458766 FBP458766:FBQ458766 FLL458766:FLM458766 FVH458766:FVI458766 GFD458766:GFE458766 GOZ458766:GPA458766 GYV458766:GYW458766 HIR458766:HIS458766 HSN458766:HSO458766 ICJ458766:ICK458766 IMF458766:IMG458766 IWB458766:IWC458766 JFX458766:JFY458766 JPT458766:JPU458766 JZP458766:JZQ458766 KJL458766:KJM458766 KTH458766:KTI458766 LDD458766:LDE458766 LMZ458766:LNA458766 LWV458766:LWW458766 MGR458766:MGS458766 MQN458766:MQO458766 NAJ458766:NAK458766 NKF458766:NKG458766 NUB458766:NUC458766 ODX458766:ODY458766 ONT458766:ONU458766 OXP458766:OXQ458766 PHL458766:PHM458766 PRH458766:PRI458766 QBD458766:QBE458766 QKZ458766:QLA458766 QUV458766:QUW458766 RER458766:RES458766 RON458766:ROO458766 RYJ458766:RYK458766 SIF458766:SIG458766 SSB458766:SSC458766 TBX458766:TBY458766 TLT458766:TLU458766 TVP458766:TVQ458766 UFL458766:UFM458766 UPH458766:UPI458766 UZD458766:UZE458766 VIZ458766:VJA458766 VSV458766:VSW458766 WCR458766:WCS458766 WMN458766:WMO458766 WWJ458766:WWK458766 AB524302:AC524302 JX524302:JY524302 TT524302:TU524302 ADP524302:ADQ524302 ANL524302:ANM524302 AXH524302:AXI524302 BHD524302:BHE524302 BQZ524302:BRA524302 CAV524302:CAW524302 CKR524302:CKS524302 CUN524302:CUO524302 DEJ524302:DEK524302 DOF524302:DOG524302 DYB524302:DYC524302 EHX524302:EHY524302 ERT524302:ERU524302 FBP524302:FBQ524302 FLL524302:FLM524302 FVH524302:FVI524302 GFD524302:GFE524302 GOZ524302:GPA524302 GYV524302:GYW524302 HIR524302:HIS524302 HSN524302:HSO524302 ICJ524302:ICK524302 IMF524302:IMG524302 IWB524302:IWC524302 JFX524302:JFY524302 JPT524302:JPU524302 JZP524302:JZQ524302 KJL524302:KJM524302 KTH524302:KTI524302 LDD524302:LDE524302 LMZ524302:LNA524302 LWV524302:LWW524302 MGR524302:MGS524302 MQN524302:MQO524302 NAJ524302:NAK524302 NKF524302:NKG524302 NUB524302:NUC524302 ODX524302:ODY524302 ONT524302:ONU524302 OXP524302:OXQ524302 PHL524302:PHM524302 PRH524302:PRI524302 QBD524302:QBE524302 QKZ524302:QLA524302 QUV524302:QUW524302 RER524302:RES524302 RON524302:ROO524302 RYJ524302:RYK524302 SIF524302:SIG524302 SSB524302:SSC524302 TBX524302:TBY524302 TLT524302:TLU524302 TVP524302:TVQ524302 UFL524302:UFM524302 UPH524302:UPI524302 UZD524302:UZE524302 VIZ524302:VJA524302 VSV524302:VSW524302 WCR524302:WCS524302 WMN524302:WMO524302 WWJ524302:WWK524302 AB589838:AC589838 JX589838:JY589838 TT589838:TU589838 ADP589838:ADQ589838 ANL589838:ANM589838 AXH589838:AXI589838 BHD589838:BHE589838 BQZ589838:BRA589838 CAV589838:CAW589838 CKR589838:CKS589838 CUN589838:CUO589838 DEJ589838:DEK589838 DOF589838:DOG589838 DYB589838:DYC589838 EHX589838:EHY589838 ERT589838:ERU589838 FBP589838:FBQ589838 FLL589838:FLM589838 FVH589838:FVI589838 GFD589838:GFE589838 GOZ589838:GPA589838 GYV589838:GYW589838 HIR589838:HIS589838 HSN589838:HSO589838 ICJ589838:ICK589838 IMF589838:IMG589838 IWB589838:IWC589838 JFX589838:JFY589838 JPT589838:JPU589838 JZP589838:JZQ589838 KJL589838:KJM589838 KTH589838:KTI589838 LDD589838:LDE589838 LMZ589838:LNA589838 LWV589838:LWW589838 MGR589838:MGS589838 MQN589838:MQO589838 NAJ589838:NAK589838 NKF589838:NKG589838 NUB589838:NUC589838 ODX589838:ODY589838 ONT589838:ONU589838 OXP589838:OXQ589838 PHL589838:PHM589838 PRH589838:PRI589838 QBD589838:QBE589838 QKZ589838:QLA589838 QUV589838:QUW589838 RER589838:RES589838 RON589838:ROO589838 RYJ589838:RYK589838 SIF589838:SIG589838 SSB589838:SSC589838 TBX589838:TBY589838 TLT589838:TLU589838 TVP589838:TVQ589838 UFL589838:UFM589838 UPH589838:UPI589838 UZD589838:UZE589838 VIZ589838:VJA589838 VSV589838:VSW589838 WCR589838:WCS589838 WMN589838:WMO589838 WWJ589838:WWK589838 AB655374:AC655374 JX655374:JY655374 TT655374:TU655374 ADP655374:ADQ655374 ANL655374:ANM655374 AXH655374:AXI655374 BHD655374:BHE655374 BQZ655374:BRA655374 CAV655374:CAW655374 CKR655374:CKS655374 CUN655374:CUO655374 DEJ655374:DEK655374 DOF655374:DOG655374 DYB655374:DYC655374 EHX655374:EHY655374 ERT655374:ERU655374 FBP655374:FBQ655374 FLL655374:FLM655374 FVH655374:FVI655374 GFD655374:GFE655374 GOZ655374:GPA655374 GYV655374:GYW655374 HIR655374:HIS655374 HSN655374:HSO655374 ICJ655374:ICK655374 IMF655374:IMG655374 IWB655374:IWC655374 JFX655374:JFY655374 JPT655374:JPU655374 JZP655374:JZQ655374 KJL655374:KJM655374 KTH655374:KTI655374 LDD655374:LDE655374 LMZ655374:LNA655374 LWV655374:LWW655374 MGR655374:MGS655374 MQN655374:MQO655374 NAJ655374:NAK655374 NKF655374:NKG655374 NUB655374:NUC655374 ODX655374:ODY655374 ONT655374:ONU655374 OXP655374:OXQ655374 PHL655374:PHM655374 PRH655374:PRI655374 QBD655374:QBE655374 QKZ655374:QLA655374 QUV655374:QUW655374 RER655374:RES655374 RON655374:ROO655374 RYJ655374:RYK655374 SIF655374:SIG655374 SSB655374:SSC655374 TBX655374:TBY655374 TLT655374:TLU655374 TVP655374:TVQ655374 UFL655374:UFM655374 UPH655374:UPI655374 UZD655374:UZE655374 VIZ655374:VJA655374 VSV655374:VSW655374 WCR655374:WCS655374 WMN655374:WMO655374 WWJ655374:WWK655374 AB720910:AC720910 JX720910:JY720910 TT720910:TU720910 ADP720910:ADQ720910 ANL720910:ANM720910 AXH720910:AXI720910 BHD720910:BHE720910 BQZ720910:BRA720910 CAV720910:CAW720910 CKR720910:CKS720910 CUN720910:CUO720910 DEJ720910:DEK720910 DOF720910:DOG720910 DYB720910:DYC720910 EHX720910:EHY720910 ERT720910:ERU720910 FBP720910:FBQ720910 FLL720910:FLM720910 FVH720910:FVI720910 GFD720910:GFE720910 GOZ720910:GPA720910 GYV720910:GYW720910 HIR720910:HIS720910 HSN720910:HSO720910 ICJ720910:ICK720910 IMF720910:IMG720910 IWB720910:IWC720910 JFX720910:JFY720910 JPT720910:JPU720910 JZP720910:JZQ720910 KJL720910:KJM720910 KTH720910:KTI720910 LDD720910:LDE720910 LMZ720910:LNA720910 LWV720910:LWW720910 MGR720910:MGS720910 MQN720910:MQO720910 NAJ720910:NAK720910 NKF720910:NKG720910 NUB720910:NUC720910 ODX720910:ODY720910 ONT720910:ONU720910 OXP720910:OXQ720910 PHL720910:PHM720910 PRH720910:PRI720910 QBD720910:QBE720910 QKZ720910:QLA720910 QUV720910:QUW720910 RER720910:RES720910 RON720910:ROO720910 RYJ720910:RYK720910 SIF720910:SIG720910 SSB720910:SSC720910 TBX720910:TBY720910 TLT720910:TLU720910 TVP720910:TVQ720910 UFL720910:UFM720910 UPH720910:UPI720910 UZD720910:UZE720910 VIZ720910:VJA720910 VSV720910:VSW720910 WCR720910:WCS720910 WMN720910:WMO720910 WWJ720910:WWK720910 AB786446:AC786446 JX786446:JY786446 TT786446:TU786446 ADP786446:ADQ786446 ANL786446:ANM786446 AXH786446:AXI786446 BHD786446:BHE786446 BQZ786446:BRA786446 CAV786446:CAW786446 CKR786446:CKS786446 CUN786446:CUO786446 DEJ786446:DEK786446 DOF786446:DOG786446 DYB786446:DYC786446 EHX786446:EHY786446 ERT786446:ERU786446 FBP786446:FBQ786446 FLL786446:FLM786446 FVH786446:FVI786446 GFD786446:GFE786446 GOZ786446:GPA786446 GYV786446:GYW786446 HIR786446:HIS786446 HSN786446:HSO786446 ICJ786446:ICK786446 IMF786446:IMG786446 IWB786446:IWC786446 JFX786446:JFY786446 JPT786446:JPU786446 JZP786446:JZQ786446 KJL786446:KJM786446 KTH786446:KTI786446 LDD786446:LDE786446 LMZ786446:LNA786446 LWV786446:LWW786446 MGR786446:MGS786446 MQN786446:MQO786446 NAJ786446:NAK786446 NKF786446:NKG786446 NUB786446:NUC786446 ODX786446:ODY786446 ONT786446:ONU786446 OXP786446:OXQ786446 PHL786446:PHM786446 PRH786446:PRI786446 QBD786446:QBE786446 QKZ786446:QLA786446 QUV786446:QUW786446 RER786446:RES786446 RON786446:ROO786446 RYJ786446:RYK786446 SIF786446:SIG786446 SSB786446:SSC786446 TBX786446:TBY786446 TLT786446:TLU786446 TVP786446:TVQ786446 UFL786446:UFM786446 UPH786446:UPI786446 UZD786446:UZE786446 VIZ786446:VJA786446 VSV786446:VSW786446 WCR786446:WCS786446 WMN786446:WMO786446 WWJ786446:WWK786446 AB851982:AC851982 JX851982:JY851982 TT851982:TU851982 ADP851982:ADQ851982 ANL851982:ANM851982 AXH851982:AXI851982 BHD851982:BHE851982 BQZ851982:BRA851982 CAV851982:CAW851982 CKR851982:CKS851982 CUN851982:CUO851982 DEJ851982:DEK851982 DOF851982:DOG851982 DYB851982:DYC851982 EHX851982:EHY851982 ERT851982:ERU851982 FBP851982:FBQ851982 FLL851982:FLM851982 FVH851982:FVI851982 GFD851982:GFE851982 GOZ851982:GPA851982 GYV851982:GYW851982 HIR851982:HIS851982 HSN851982:HSO851982 ICJ851982:ICK851982 IMF851982:IMG851982 IWB851982:IWC851982 JFX851982:JFY851982 JPT851982:JPU851982 JZP851982:JZQ851982 KJL851982:KJM851982 KTH851982:KTI851982 LDD851982:LDE851982 LMZ851982:LNA851982 LWV851982:LWW851982 MGR851982:MGS851982 MQN851982:MQO851982 NAJ851982:NAK851982 NKF851982:NKG851982 NUB851982:NUC851982 ODX851982:ODY851982 ONT851982:ONU851982 OXP851982:OXQ851982 PHL851982:PHM851982 PRH851982:PRI851982 QBD851982:QBE851982 QKZ851982:QLA851982 QUV851982:QUW851982 RER851982:RES851982 RON851982:ROO851982 RYJ851982:RYK851982 SIF851982:SIG851982 SSB851982:SSC851982 TBX851982:TBY851982 TLT851982:TLU851982 TVP851982:TVQ851982 UFL851982:UFM851982 UPH851982:UPI851982 UZD851982:UZE851982 VIZ851982:VJA851982 VSV851982:VSW851982 WCR851982:WCS851982 WMN851982:WMO851982 WWJ851982:WWK851982 AB917518:AC917518 JX917518:JY917518 TT917518:TU917518 ADP917518:ADQ917518 ANL917518:ANM917518 AXH917518:AXI917518 BHD917518:BHE917518 BQZ917518:BRA917518 CAV917518:CAW917518 CKR917518:CKS917518 CUN917518:CUO917518 DEJ917518:DEK917518 DOF917518:DOG917518 DYB917518:DYC917518 EHX917518:EHY917518 ERT917518:ERU917518 FBP917518:FBQ917518 FLL917518:FLM917518 FVH917518:FVI917518 GFD917518:GFE917518 GOZ917518:GPA917518 GYV917518:GYW917518 HIR917518:HIS917518 HSN917518:HSO917518 ICJ917518:ICK917518 IMF917518:IMG917518 IWB917518:IWC917518 JFX917518:JFY917518 JPT917518:JPU917518 JZP917518:JZQ917518 KJL917518:KJM917518 KTH917518:KTI917518 LDD917518:LDE917518 LMZ917518:LNA917518 LWV917518:LWW917518 MGR917518:MGS917518 MQN917518:MQO917518 NAJ917518:NAK917518 NKF917518:NKG917518 NUB917518:NUC917518 ODX917518:ODY917518 ONT917518:ONU917518 OXP917518:OXQ917518 PHL917518:PHM917518 PRH917518:PRI917518 QBD917518:QBE917518 QKZ917518:QLA917518 QUV917518:QUW917518 RER917518:RES917518 RON917518:ROO917518 RYJ917518:RYK917518 SIF917518:SIG917518 SSB917518:SSC917518 TBX917518:TBY917518 TLT917518:TLU917518 TVP917518:TVQ917518 UFL917518:UFM917518 UPH917518:UPI917518 UZD917518:UZE917518 VIZ917518:VJA917518 VSV917518:VSW917518 WCR917518:WCS917518 WMN917518:WMO917518 WWJ917518:WWK917518 AB983054:AC983054 JX983054:JY983054 TT983054:TU983054 ADP983054:ADQ983054 ANL983054:ANM983054 AXH983054:AXI983054 BHD983054:BHE983054 BQZ983054:BRA983054 CAV983054:CAW983054 CKR983054:CKS983054 CUN983054:CUO983054 DEJ983054:DEK983054 DOF983054:DOG983054 DYB983054:DYC983054 EHX983054:EHY983054 ERT983054:ERU983054 FBP983054:FBQ983054 FLL983054:FLM983054 FVH983054:FVI983054 GFD983054:GFE983054 GOZ983054:GPA983054 GYV983054:GYW983054 HIR983054:HIS983054 HSN983054:HSO983054 ICJ983054:ICK983054 IMF983054:IMG983054 IWB983054:IWC983054 JFX983054:JFY983054 JPT983054:JPU983054 JZP983054:JZQ983054 KJL983054:KJM983054 KTH983054:KTI983054 LDD983054:LDE983054 LMZ983054:LNA983054 LWV983054:LWW983054 MGR983054:MGS983054 MQN983054:MQO983054 NAJ983054:NAK983054 NKF983054:NKG983054 NUB983054:NUC983054 ODX983054:ODY983054 ONT983054:ONU983054 OXP983054:OXQ983054 PHL983054:PHM983054 PRH983054:PRI983054 QBD983054:QBE983054 QKZ983054:QLA983054 QUV983054:QUW983054 RER983054:RES983054 RON983054:ROO983054 RYJ983054:RYK983054 SIF983054:SIG983054 SSB983054:SSC983054 TBX983054:TBY983054 TLT983054:TLU983054 TVP983054:TVQ983054 UFL983054:UFM983054 UPH983054:UPI983054 UZD983054:UZE983054 VIZ983054:VJA983054 VSV983054:VSW983054 WCR983054:WCS983054 WMN983054:WMO983054 WWJ983054:WWK983054 K6:M6 JG6:JI6 TC6:TE6 ACY6:ADA6 AMU6:AMW6 AWQ6:AWS6 BGM6:BGO6 BQI6:BQK6 CAE6:CAG6 CKA6:CKC6 CTW6:CTY6 DDS6:DDU6 DNO6:DNQ6 DXK6:DXM6 EHG6:EHI6 ERC6:ERE6 FAY6:FBA6 FKU6:FKW6 FUQ6:FUS6 GEM6:GEO6 GOI6:GOK6 GYE6:GYG6 HIA6:HIC6 HRW6:HRY6 IBS6:IBU6 ILO6:ILQ6 IVK6:IVM6 JFG6:JFI6 JPC6:JPE6 JYY6:JZA6 KIU6:KIW6 KSQ6:KSS6 LCM6:LCO6 LMI6:LMK6 LWE6:LWG6 MGA6:MGC6 MPW6:MPY6 MZS6:MZU6 NJO6:NJQ6 NTK6:NTM6 ODG6:ODI6 ONC6:ONE6 OWY6:OXA6 PGU6:PGW6 PQQ6:PQS6 QAM6:QAO6 QKI6:QKK6 QUE6:QUG6 REA6:REC6 RNW6:RNY6 RXS6:RXU6 SHO6:SHQ6 SRK6:SRM6 TBG6:TBI6 TLC6:TLE6 TUY6:TVA6 UEU6:UEW6 UOQ6:UOS6 UYM6:UYO6 VII6:VIK6 VSE6:VSG6 WCA6:WCC6 WLW6:WLY6 WVS6:WVU6 K65542:M65542 JG65542:JI65542 TC65542:TE65542 ACY65542:ADA65542 AMU65542:AMW65542 AWQ65542:AWS65542 BGM65542:BGO65542 BQI65542:BQK65542 CAE65542:CAG65542 CKA65542:CKC65542 CTW65542:CTY65542 DDS65542:DDU65542 DNO65542:DNQ65542 DXK65542:DXM65542 EHG65542:EHI65542 ERC65542:ERE65542 FAY65542:FBA65542 FKU65542:FKW65542 FUQ65542:FUS65542 GEM65542:GEO65542 GOI65542:GOK65542 GYE65542:GYG65542 HIA65542:HIC65542 HRW65542:HRY65542 IBS65542:IBU65542 ILO65542:ILQ65542 IVK65542:IVM65542 JFG65542:JFI65542 JPC65542:JPE65542 JYY65542:JZA65542 KIU65542:KIW65542 KSQ65542:KSS65542 LCM65542:LCO65542 LMI65542:LMK65542 LWE65542:LWG65542 MGA65542:MGC65542 MPW65542:MPY65542 MZS65542:MZU65542 NJO65542:NJQ65542 NTK65542:NTM65542 ODG65542:ODI65542 ONC65542:ONE65542 OWY65542:OXA65542 PGU65542:PGW65542 PQQ65542:PQS65542 QAM65542:QAO65542 QKI65542:QKK65542 QUE65542:QUG65542 REA65542:REC65542 RNW65542:RNY65542 RXS65542:RXU65542 SHO65542:SHQ65542 SRK65542:SRM65542 TBG65542:TBI65542 TLC65542:TLE65542 TUY65542:TVA65542 UEU65542:UEW65542 UOQ65542:UOS65542 UYM65542:UYO65542 VII65542:VIK65542 VSE65542:VSG65542 WCA65542:WCC65542 WLW65542:WLY65542 WVS65542:WVU65542 K131078:M131078 JG131078:JI131078 TC131078:TE131078 ACY131078:ADA131078 AMU131078:AMW131078 AWQ131078:AWS131078 BGM131078:BGO131078 BQI131078:BQK131078 CAE131078:CAG131078 CKA131078:CKC131078 CTW131078:CTY131078 DDS131078:DDU131078 DNO131078:DNQ131078 DXK131078:DXM131078 EHG131078:EHI131078 ERC131078:ERE131078 FAY131078:FBA131078 FKU131078:FKW131078 FUQ131078:FUS131078 GEM131078:GEO131078 GOI131078:GOK131078 GYE131078:GYG131078 HIA131078:HIC131078 HRW131078:HRY131078 IBS131078:IBU131078 ILO131078:ILQ131078 IVK131078:IVM131078 JFG131078:JFI131078 JPC131078:JPE131078 JYY131078:JZA131078 KIU131078:KIW131078 KSQ131078:KSS131078 LCM131078:LCO131078 LMI131078:LMK131078 LWE131078:LWG131078 MGA131078:MGC131078 MPW131078:MPY131078 MZS131078:MZU131078 NJO131078:NJQ131078 NTK131078:NTM131078 ODG131078:ODI131078 ONC131078:ONE131078 OWY131078:OXA131078 PGU131078:PGW131078 PQQ131078:PQS131078 QAM131078:QAO131078 QKI131078:QKK131078 QUE131078:QUG131078 REA131078:REC131078 RNW131078:RNY131078 RXS131078:RXU131078 SHO131078:SHQ131078 SRK131078:SRM131078 TBG131078:TBI131078 TLC131078:TLE131078 TUY131078:TVA131078 UEU131078:UEW131078 UOQ131078:UOS131078 UYM131078:UYO131078 VII131078:VIK131078 VSE131078:VSG131078 WCA131078:WCC131078 WLW131078:WLY131078 WVS131078:WVU131078 K196614:M196614 JG196614:JI196614 TC196614:TE196614 ACY196614:ADA196614 AMU196614:AMW196614 AWQ196614:AWS196614 BGM196614:BGO196614 BQI196614:BQK196614 CAE196614:CAG196614 CKA196614:CKC196614 CTW196614:CTY196614 DDS196614:DDU196614 DNO196614:DNQ196614 DXK196614:DXM196614 EHG196614:EHI196614 ERC196614:ERE196614 FAY196614:FBA196614 FKU196614:FKW196614 FUQ196614:FUS196614 GEM196614:GEO196614 GOI196614:GOK196614 GYE196614:GYG196614 HIA196614:HIC196614 HRW196614:HRY196614 IBS196614:IBU196614 ILO196614:ILQ196614 IVK196614:IVM196614 JFG196614:JFI196614 JPC196614:JPE196614 JYY196614:JZA196614 KIU196614:KIW196614 KSQ196614:KSS196614 LCM196614:LCO196614 LMI196614:LMK196614 LWE196614:LWG196614 MGA196614:MGC196614 MPW196614:MPY196614 MZS196614:MZU196614 NJO196614:NJQ196614 NTK196614:NTM196614 ODG196614:ODI196614 ONC196614:ONE196614 OWY196614:OXA196614 PGU196614:PGW196614 PQQ196614:PQS196614 QAM196614:QAO196614 QKI196614:QKK196614 QUE196614:QUG196614 REA196614:REC196614 RNW196614:RNY196614 RXS196614:RXU196614 SHO196614:SHQ196614 SRK196614:SRM196614 TBG196614:TBI196614 TLC196614:TLE196614 TUY196614:TVA196614 UEU196614:UEW196614 UOQ196614:UOS196614 UYM196614:UYO196614 VII196614:VIK196614 VSE196614:VSG196614 WCA196614:WCC196614 WLW196614:WLY196614 WVS196614:WVU196614 K262150:M262150 JG262150:JI262150 TC262150:TE262150 ACY262150:ADA262150 AMU262150:AMW262150 AWQ262150:AWS262150 BGM262150:BGO262150 BQI262150:BQK262150 CAE262150:CAG262150 CKA262150:CKC262150 CTW262150:CTY262150 DDS262150:DDU262150 DNO262150:DNQ262150 DXK262150:DXM262150 EHG262150:EHI262150 ERC262150:ERE262150 FAY262150:FBA262150 FKU262150:FKW262150 FUQ262150:FUS262150 GEM262150:GEO262150 GOI262150:GOK262150 GYE262150:GYG262150 HIA262150:HIC262150 HRW262150:HRY262150 IBS262150:IBU262150 ILO262150:ILQ262150 IVK262150:IVM262150 JFG262150:JFI262150 JPC262150:JPE262150 JYY262150:JZA262150 KIU262150:KIW262150 KSQ262150:KSS262150 LCM262150:LCO262150 LMI262150:LMK262150 LWE262150:LWG262150 MGA262150:MGC262150 MPW262150:MPY262150 MZS262150:MZU262150 NJO262150:NJQ262150 NTK262150:NTM262150 ODG262150:ODI262150 ONC262150:ONE262150 OWY262150:OXA262150 PGU262150:PGW262150 PQQ262150:PQS262150 QAM262150:QAO262150 QKI262150:QKK262150 QUE262150:QUG262150 REA262150:REC262150 RNW262150:RNY262150 RXS262150:RXU262150 SHO262150:SHQ262150 SRK262150:SRM262150 TBG262150:TBI262150 TLC262150:TLE262150 TUY262150:TVA262150 UEU262150:UEW262150 UOQ262150:UOS262150 UYM262150:UYO262150 VII262150:VIK262150 VSE262150:VSG262150 WCA262150:WCC262150 WLW262150:WLY262150 WVS262150:WVU262150 K327686:M327686 JG327686:JI327686 TC327686:TE327686 ACY327686:ADA327686 AMU327686:AMW327686 AWQ327686:AWS327686 BGM327686:BGO327686 BQI327686:BQK327686 CAE327686:CAG327686 CKA327686:CKC327686 CTW327686:CTY327686 DDS327686:DDU327686 DNO327686:DNQ327686 DXK327686:DXM327686 EHG327686:EHI327686 ERC327686:ERE327686 FAY327686:FBA327686 FKU327686:FKW327686 FUQ327686:FUS327686 GEM327686:GEO327686 GOI327686:GOK327686 GYE327686:GYG327686 HIA327686:HIC327686 HRW327686:HRY327686 IBS327686:IBU327686 ILO327686:ILQ327686 IVK327686:IVM327686 JFG327686:JFI327686 JPC327686:JPE327686 JYY327686:JZA327686 KIU327686:KIW327686 KSQ327686:KSS327686 LCM327686:LCO327686 LMI327686:LMK327686 LWE327686:LWG327686 MGA327686:MGC327686 MPW327686:MPY327686 MZS327686:MZU327686 NJO327686:NJQ327686 NTK327686:NTM327686 ODG327686:ODI327686 ONC327686:ONE327686 OWY327686:OXA327686 PGU327686:PGW327686 PQQ327686:PQS327686 QAM327686:QAO327686 QKI327686:QKK327686 QUE327686:QUG327686 REA327686:REC327686 RNW327686:RNY327686 RXS327686:RXU327686 SHO327686:SHQ327686 SRK327686:SRM327686 TBG327686:TBI327686 TLC327686:TLE327686 TUY327686:TVA327686 UEU327686:UEW327686 UOQ327686:UOS327686 UYM327686:UYO327686 VII327686:VIK327686 VSE327686:VSG327686 WCA327686:WCC327686 WLW327686:WLY327686 WVS327686:WVU327686 K393222:M393222 JG393222:JI393222 TC393222:TE393222 ACY393222:ADA393222 AMU393222:AMW393222 AWQ393222:AWS393222 BGM393222:BGO393222 BQI393222:BQK393222 CAE393222:CAG393222 CKA393222:CKC393222 CTW393222:CTY393222 DDS393222:DDU393222 DNO393222:DNQ393222 DXK393222:DXM393222 EHG393222:EHI393222 ERC393222:ERE393222 FAY393222:FBA393222 FKU393222:FKW393222 FUQ393222:FUS393222 GEM393222:GEO393222 GOI393222:GOK393222 GYE393222:GYG393222 HIA393222:HIC393222 HRW393222:HRY393222 IBS393222:IBU393222 ILO393222:ILQ393222 IVK393222:IVM393222 JFG393222:JFI393222 JPC393222:JPE393222 JYY393222:JZA393222 KIU393222:KIW393222 KSQ393222:KSS393222 LCM393222:LCO393222 LMI393222:LMK393222 LWE393222:LWG393222 MGA393222:MGC393222 MPW393222:MPY393222 MZS393222:MZU393222 NJO393222:NJQ393222 NTK393222:NTM393222 ODG393222:ODI393222 ONC393222:ONE393222 OWY393222:OXA393222 PGU393222:PGW393222 PQQ393222:PQS393222 QAM393222:QAO393222 QKI393222:QKK393222 QUE393222:QUG393222 REA393222:REC393222 RNW393222:RNY393222 RXS393222:RXU393222 SHO393222:SHQ393222 SRK393222:SRM393222 TBG393222:TBI393222 TLC393222:TLE393222 TUY393222:TVA393222 UEU393222:UEW393222 UOQ393222:UOS393222 UYM393222:UYO393222 VII393222:VIK393222 VSE393222:VSG393222 WCA393222:WCC393222 WLW393222:WLY393222 WVS393222:WVU393222 K458758:M458758 JG458758:JI458758 TC458758:TE458758 ACY458758:ADA458758 AMU458758:AMW458758 AWQ458758:AWS458758 BGM458758:BGO458758 BQI458758:BQK458758 CAE458758:CAG458758 CKA458758:CKC458758 CTW458758:CTY458758 DDS458758:DDU458758 DNO458758:DNQ458758 DXK458758:DXM458758 EHG458758:EHI458758 ERC458758:ERE458758 FAY458758:FBA458758 FKU458758:FKW458758 FUQ458758:FUS458758 GEM458758:GEO458758 GOI458758:GOK458758 GYE458758:GYG458758 HIA458758:HIC458758 HRW458758:HRY458758 IBS458758:IBU458758 ILO458758:ILQ458758 IVK458758:IVM458758 JFG458758:JFI458758 JPC458758:JPE458758 JYY458758:JZA458758 KIU458758:KIW458758 KSQ458758:KSS458758 LCM458758:LCO458758 LMI458758:LMK458758 LWE458758:LWG458758 MGA458758:MGC458758 MPW458758:MPY458758 MZS458758:MZU458758 NJO458758:NJQ458758 NTK458758:NTM458758 ODG458758:ODI458758 ONC458758:ONE458758 OWY458758:OXA458758 PGU458758:PGW458758 PQQ458758:PQS458758 QAM458758:QAO458758 QKI458758:QKK458758 QUE458758:QUG458758 REA458758:REC458758 RNW458758:RNY458758 RXS458758:RXU458758 SHO458758:SHQ458758 SRK458758:SRM458758 TBG458758:TBI458758 TLC458758:TLE458758 TUY458758:TVA458758 UEU458758:UEW458758 UOQ458758:UOS458758 UYM458758:UYO458758 VII458758:VIK458758 VSE458758:VSG458758 WCA458758:WCC458758 WLW458758:WLY458758 WVS458758:WVU458758 K524294:M524294 JG524294:JI524294 TC524294:TE524294 ACY524294:ADA524294 AMU524294:AMW524294 AWQ524294:AWS524294 BGM524294:BGO524294 BQI524294:BQK524294 CAE524294:CAG524294 CKA524294:CKC524294 CTW524294:CTY524294 DDS524294:DDU524294 DNO524294:DNQ524294 DXK524294:DXM524294 EHG524294:EHI524294 ERC524294:ERE524294 FAY524294:FBA524294 FKU524294:FKW524294 FUQ524294:FUS524294 GEM524294:GEO524294 GOI524294:GOK524294 GYE524294:GYG524294 HIA524294:HIC524294 HRW524294:HRY524294 IBS524294:IBU524294 ILO524294:ILQ524294 IVK524294:IVM524294 JFG524294:JFI524294 JPC524294:JPE524294 JYY524294:JZA524294 KIU524294:KIW524294 KSQ524294:KSS524294 LCM524294:LCO524294 LMI524294:LMK524294 LWE524294:LWG524294 MGA524294:MGC524294 MPW524294:MPY524294 MZS524294:MZU524294 NJO524294:NJQ524294 NTK524294:NTM524294 ODG524294:ODI524294 ONC524294:ONE524294 OWY524294:OXA524294 PGU524294:PGW524294 PQQ524294:PQS524294 QAM524294:QAO524294 QKI524294:QKK524294 QUE524294:QUG524294 REA524294:REC524294 RNW524294:RNY524294 RXS524294:RXU524294 SHO524294:SHQ524294 SRK524294:SRM524294 TBG524294:TBI524294 TLC524294:TLE524294 TUY524294:TVA524294 UEU524294:UEW524294 UOQ524294:UOS524294 UYM524294:UYO524294 VII524294:VIK524294 VSE524294:VSG524294 WCA524294:WCC524294 WLW524294:WLY524294 WVS524294:WVU524294 K589830:M589830 JG589830:JI589830 TC589830:TE589830 ACY589830:ADA589830 AMU589830:AMW589830 AWQ589830:AWS589830 BGM589830:BGO589830 BQI589830:BQK589830 CAE589830:CAG589830 CKA589830:CKC589830 CTW589830:CTY589830 DDS589830:DDU589830 DNO589830:DNQ589830 DXK589830:DXM589830 EHG589830:EHI589830 ERC589830:ERE589830 FAY589830:FBA589830 FKU589830:FKW589830 FUQ589830:FUS589830 GEM589830:GEO589830 GOI589830:GOK589830 GYE589830:GYG589830 HIA589830:HIC589830 HRW589830:HRY589830 IBS589830:IBU589830 ILO589830:ILQ589830 IVK589830:IVM589830 JFG589830:JFI589830 JPC589830:JPE589830 JYY589830:JZA589830 KIU589830:KIW589830 KSQ589830:KSS589830 LCM589830:LCO589830 LMI589830:LMK589830 LWE589830:LWG589830 MGA589830:MGC589830 MPW589830:MPY589830 MZS589830:MZU589830 NJO589830:NJQ589830 NTK589830:NTM589830 ODG589830:ODI589830 ONC589830:ONE589830 OWY589830:OXA589830 PGU589830:PGW589830 PQQ589830:PQS589830 QAM589830:QAO589830 QKI589830:QKK589830 QUE589830:QUG589830 REA589830:REC589830 RNW589830:RNY589830 RXS589830:RXU589830 SHO589830:SHQ589830 SRK589830:SRM589830 TBG589830:TBI589830 TLC589830:TLE589830 TUY589830:TVA589830 UEU589830:UEW589830 UOQ589830:UOS589830 UYM589830:UYO589830 VII589830:VIK589830 VSE589830:VSG589830 WCA589830:WCC589830 WLW589830:WLY589830 WVS589830:WVU589830 K655366:M655366 JG655366:JI655366 TC655366:TE655366 ACY655366:ADA655366 AMU655366:AMW655366 AWQ655366:AWS655366 BGM655366:BGO655366 BQI655366:BQK655366 CAE655366:CAG655366 CKA655366:CKC655366 CTW655366:CTY655366 DDS655366:DDU655366 DNO655366:DNQ655366 DXK655366:DXM655366 EHG655366:EHI655366 ERC655366:ERE655366 FAY655366:FBA655366 FKU655366:FKW655366 FUQ655366:FUS655366 GEM655366:GEO655366 GOI655366:GOK655366 GYE655366:GYG655366 HIA655366:HIC655366 HRW655366:HRY655366 IBS655366:IBU655366 ILO655366:ILQ655366 IVK655366:IVM655366 JFG655366:JFI655366 JPC655366:JPE655366 JYY655366:JZA655366 KIU655366:KIW655366 KSQ655366:KSS655366 LCM655366:LCO655366 LMI655366:LMK655366 LWE655366:LWG655366 MGA655366:MGC655366 MPW655366:MPY655366 MZS655366:MZU655366 NJO655366:NJQ655366 NTK655366:NTM655366 ODG655366:ODI655366 ONC655366:ONE655366 OWY655366:OXA655366 PGU655366:PGW655366 PQQ655366:PQS655366 QAM655366:QAO655366 QKI655366:QKK655366 QUE655366:QUG655366 REA655366:REC655366 RNW655366:RNY655366 RXS655366:RXU655366 SHO655366:SHQ655366 SRK655366:SRM655366 TBG655366:TBI655366 TLC655366:TLE655366 TUY655366:TVA655366 UEU655366:UEW655366 UOQ655366:UOS655366 UYM655366:UYO655366 VII655366:VIK655366 VSE655366:VSG655366 WCA655366:WCC655366 WLW655366:WLY655366 WVS655366:WVU655366 K720902:M720902 JG720902:JI720902 TC720902:TE720902 ACY720902:ADA720902 AMU720902:AMW720902 AWQ720902:AWS720902 BGM720902:BGO720902 BQI720902:BQK720902 CAE720902:CAG720902 CKA720902:CKC720902 CTW720902:CTY720902 DDS720902:DDU720902 DNO720902:DNQ720902 DXK720902:DXM720902 EHG720902:EHI720902 ERC720902:ERE720902 FAY720902:FBA720902 FKU720902:FKW720902 FUQ720902:FUS720902 GEM720902:GEO720902 GOI720902:GOK720902 GYE720902:GYG720902 HIA720902:HIC720902 HRW720902:HRY720902 IBS720902:IBU720902 ILO720902:ILQ720902 IVK720902:IVM720902 JFG720902:JFI720902 JPC720902:JPE720902 JYY720902:JZA720902 KIU720902:KIW720902 KSQ720902:KSS720902 LCM720902:LCO720902 LMI720902:LMK720902 LWE720902:LWG720902 MGA720902:MGC720902 MPW720902:MPY720902 MZS720902:MZU720902 NJO720902:NJQ720902 NTK720902:NTM720902 ODG720902:ODI720902 ONC720902:ONE720902 OWY720902:OXA720902 PGU720902:PGW720902 PQQ720902:PQS720902 QAM720902:QAO720902 QKI720902:QKK720902 QUE720902:QUG720902 REA720902:REC720902 RNW720902:RNY720902 RXS720902:RXU720902 SHO720902:SHQ720902 SRK720902:SRM720902 TBG720902:TBI720902 TLC720902:TLE720902 TUY720902:TVA720902 UEU720902:UEW720902 UOQ720902:UOS720902 UYM720902:UYO720902 VII720902:VIK720902 VSE720902:VSG720902 WCA720902:WCC720902 WLW720902:WLY720902 WVS720902:WVU720902 K786438:M786438 JG786438:JI786438 TC786438:TE786438 ACY786438:ADA786438 AMU786438:AMW786438 AWQ786438:AWS786438 BGM786438:BGO786438 BQI786438:BQK786438 CAE786438:CAG786438 CKA786438:CKC786438 CTW786438:CTY786438 DDS786438:DDU786438 DNO786438:DNQ786438 DXK786438:DXM786438 EHG786438:EHI786438 ERC786438:ERE786438 FAY786438:FBA786438 FKU786438:FKW786438 FUQ786438:FUS786438 GEM786438:GEO786438 GOI786438:GOK786438 GYE786438:GYG786438 HIA786438:HIC786438 HRW786438:HRY786438 IBS786438:IBU786438 ILO786438:ILQ786438 IVK786438:IVM786438 JFG786438:JFI786438 JPC786438:JPE786438 JYY786438:JZA786438 KIU786438:KIW786438 KSQ786438:KSS786438 LCM786438:LCO786438 LMI786438:LMK786438 LWE786438:LWG786438 MGA786438:MGC786438 MPW786438:MPY786438 MZS786438:MZU786438 NJO786438:NJQ786438 NTK786438:NTM786438 ODG786438:ODI786438 ONC786438:ONE786438 OWY786438:OXA786438 PGU786438:PGW786438 PQQ786438:PQS786438 QAM786438:QAO786438 QKI786438:QKK786438 QUE786438:QUG786438 REA786438:REC786438 RNW786438:RNY786438 RXS786438:RXU786438 SHO786438:SHQ786438 SRK786438:SRM786438 TBG786438:TBI786438 TLC786438:TLE786438 TUY786438:TVA786438 UEU786438:UEW786438 UOQ786438:UOS786438 UYM786438:UYO786438 VII786438:VIK786438 VSE786438:VSG786438 WCA786438:WCC786438 WLW786438:WLY786438 WVS786438:WVU786438 K851974:M851974 JG851974:JI851974 TC851974:TE851974 ACY851974:ADA851974 AMU851974:AMW851974 AWQ851974:AWS851974 BGM851974:BGO851974 BQI851974:BQK851974 CAE851974:CAG851974 CKA851974:CKC851974 CTW851974:CTY851974 DDS851974:DDU851974 DNO851974:DNQ851974 DXK851974:DXM851974 EHG851974:EHI851974 ERC851974:ERE851974 FAY851974:FBA851974 FKU851974:FKW851974 FUQ851974:FUS851974 GEM851974:GEO851974 GOI851974:GOK851974 GYE851974:GYG851974 HIA851974:HIC851974 HRW851974:HRY851974 IBS851974:IBU851974 ILO851974:ILQ851974 IVK851974:IVM851974 JFG851974:JFI851974 JPC851974:JPE851974 JYY851974:JZA851974 KIU851974:KIW851974 KSQ851974:KSS851974 LCM851974:LCO851974 LMI851974:LMK851974 LWE851974:LWG851974 MGA851974:MGC851974 MPW851974:MPY851974 MZS851974:MZU851974 NJO851974:NJQ851974 NTK851974:NTM851974 ODG851974:ODI851974 ONC851974:ONE851974 OWY851974:OXA851974 PGU851974:PGW851974 PQQ851974:PQS851974 QAM851974:QAO851974 QKI851974:QKK851974 QUE851974:QUG851974 REA851974:REC851974 RNW851974:RNY851974 RXS851974:RXU851974 SHO851974:SHQ851974 SRK851974:SRM851974 TBG851974:TBI851974 TLC851974:TLE851974 TUY851974:TVA851974 UEU851974:UEW851974 UOQ851974:UOS851974 UYM851974:UYO851974 VII851974:VIK851974 VSE851974:VSG851974 WCA851974:WCC851974 WLW851974:WLY851974 WVS851974:WVU851974 K917510:M917510 JG917510:JI917510 TC917510:TE917510 ACY917510:ADA917510 AMU917510:AMW917510 AWQ917510:AWS917510 BGM917510:BGO917510 BQI917510:BQK917510 CAE917510:CAG917510 CKA917510:CKC917510 CTW917510:CTY917510 DDS917510:DDU917510 DNO917510:DNQ917510 DXK917510:DXM917510 EHG917510:EHI917510 ERC917510:ERE917510 FAY917510:FBA917510 FKU917510:FKW917510 FUQ917510:FUS917510 GEM917510:GEO917510 GOI917510:GOK917510 GYE917510:GYG917510 HIA917510:HIC917510 HRW917510:HRY917510 IBS917510:IBU917510 ILO917510:ILQ917510 IVK917510:IVM917510 JFG917510:JFI917510 JPC917510:JPE917510 JYY917510:JZA917510 KIU917510:KIW917510 KSQ917510:KSS917510 LCM917510:LCO917510 LMI917510:LMK917510 LWE917510:LWG917510 MGA917510:MGC917510 MPW917510:MPY917510 MZS917510:MZU917510 NJO917510:NJQ917510 NTK917510:NTM917510 ODG917510:ODI917510 ONC917510:ONE917510 OWY917510:OXA917510 PGU917510:PGW917510 PQQ917510:PQS917510 QAM917510:QAO917510 QKI917510:QKK917510 QUE917510:QUG917510 REA917510:REC917510 RNW917510:RNY917510 RXS917510:RXU917510 SHO917510:SHQ917510 SRK917510:SRM917510 TBG917510:TBI917510 TLC917510:TLE917510 TUY917510:TVA917510 UEU917510:UEW917510 UOQ917510:UOS917510 UYM917510:UYO917510 VII917510:VIK917510 VSE917510:VSG917510 WCA917510:WCC917510 WLW917510:WLY917510 WVS917510:WVU917510 K983046:M983046 JG983046:JI983046 TC983046:TE983046 ACY983046:ADA983046 AMU983046:AMW983046 AWQ983046:AWS983046 BGM983046:BGO983046 BQI983046:BQK983046 CAE983046:CAG983046 CKA983046:CKC983046 CTW983046:CTY983046 DDS983046:DDU983046 DNO983046:DNQ983046 DXK983046:DXM983046 EHG983046:EHI983046 ERC983046:ERE983046 FAY983046:FBA983046 FKU983046:FKW983046 FUQ983046:FUS983046 GEM983046:GEO983046 GOI983046:GOK983046 GYE983046:GYG983046 HIA983046:HIC983046 HRW983046:HRY983046 IBS983046:IBU983046 ILO983046:ILQ983046 IVK983046:IVM983046 JFG983046:JFI983046 JPC983046:JPE983046 JYY983046:JZA983046 KIU983046:KIW983046 KSQ983046:KSS983046 LCM983046:LCO983046 LMI983046:LMK983046 LWE983046:LWG983046 MGA983046:MGC983046 MPW983046:MPY983046 MZS983046:MZU983046 NJO983046:NJQ983046 NTK983046:NTM983046 ODG983046:ODI983046 ONC983046:ONE983046 OWY983046:OXA983046 PGU983046:PGW983046 PQQ983046:PQS983046 QAM983046:QAO983046 QKI983046:QKK983046 QUE983046:QUG983046 REA983046:REC983046 RNW983046:RNY983046 RXS983046:RXU983046 SHO983046:SHQ983046 SRK983046:SRM983046 TBG983046:TBI983046 TLC983046:TLE983046 TUY983046:TVA983046 UEU983046:UEW983046 UOQ983046:UOS983046 UYM983046:UYO983046 VII983046:VIK983046 VSE983046:VSG983046 WCA983046:WCC983046 WLW983046:WLY983046 WVS983046:WVU983046 T10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T65546 JP65546 TL65546 ADH65546 AND65546 AWZ65546 BGV65546 BQR65546 CAN65546 CKJ65546 CUF65546 DEB65546 DNX65546 DXT65546 EHP65546 ERL65546 FBH65546 FLD65546 FUZ65546 GEV65546 GOR65546 GYN65546 HIJ65546 HSF65546 ICB65546 ILX65546 IVT65546 JFP65546 JPL65546 JZH65546 KJD65546 KSZ65546 LCV65546 LMR65546 LWN65546 MGJ65546 MQF65546 NAB65546 NJX65546 NTT65546 ODP65546 ONL65546 OXH65546 PHD65546 PQZ65546 QAV65546 QKR65546 QUN65546 REJ65546 ROF65546 RYB65546 SHX65546 SRT65546 TBP65546 TLL65546 TVH65546 UFD65546 UOZ65546 UYV65546 VIR65546 VSN65546 WCJ65546 WMF65546 WWB65546 T131082 JP131082 TL131082 ADH131082 AND131082 AWZ131082 BGV131082 BQR131082 CAN131082 CKJ131082 CUF131082 DEB131082 DNX131082 DXT131082 EHP131082 ERL131082 FBH131082 FLD131082 FUZ131082 GEV131082 GOR131082 GYN131082 HIJ131082 HSF131082 ICB131082 ILX131082 IVT131082 JFP131082 JPL131082 JZH131082 KJD131082 KSZ131082 LCV131082 LMR131082 LWN131082 MGJ131082 MQF131082 NAB131082 NJX131082 NTT131082 ODP131082 ONL131082 OXH131082 PHD131082 PQZ131082 QAV131082 QKR131082 QUN131082 REJ131082 ROF131082 RYB131082 SHX131082 SRT131082 TBP131082 TLL131082 TVH131082 UFD131082 UOZ131082 UYV131082 VIR131082 VSN131082 WCJ131082 WMF131082 WWB131082 T196618 JP196618 TL196618 ADH196618 AND196618 AWZ196618 BGV196618 BQR196618 CAN196618 CKJ196618 CUF196618 DEB196618 DNX196618 DXT196618 EHP196618 ERL196618 FBH196618 FLD196618 FUZ196618 GEV196618 GOR196618 GYN196618 HIJ196618 HSF196618 ICB196618 ILX196618 IVT196618 JFP196618 JPL196618 JZH196618 KJD196618 KSZ196618 LCV196618 LMR196618 LWN196618 MGJ196618 MQF196618 NAB196618 NJX196618 NTT196618 ODP196618 ONL196618 OXH196618 PHD196618 PQZ196618 QAV196618 QKR196618 QUN196618 REJ196618 ROF196618 RYB196618 SHX196618 SRT196618 TBP196618 TLL196618 TVH196618 UFD196618 UOZ196618 UYV196618 VIR196618 VSN196618 WCJ196618 WMF196618 WWB196618 T262154 JP262154 TL262154 ADH262154 AND262154 AWZ262154 BGV262154 BQR262154 CAN262154 CKJ262154 CUF262154 DEB262154 DNX262154 DXT262154 EHP262154 ERL262154 FBH262154 FLD262154 FUZ262154 GEV262154 GOR262154 GYN262154 HIJ262154 HSF262154 ICB262154 ILX262154 IVT262154 JFP262154 JPL262154 JZH262154 KJD262154 KSZ262154 LCV262154 LMR262154 LWN262154 MGJ262154 MQF262154 NAB262154 NJX262154 NTT262154 ODP262154 ONL262154 OXH262154 PHD262154 PQZ262154 QAV262154 QKR262154 QUN262154 REJ262154 ROF262154 RYB262154 SHX262154 SRT262154 TBP262154 TLL262154 TVH262154 UFD262154 UOZ262154 UYV262154 VIR262154 VSN262154 WCJ262154 WMF262154 WWB262154 T327690 JP327690 TL327690 ADH327690 AND327690 AWZ327690 BGV327690 BQR327690 CAN327690 CKJ327690 CUF327690 DEB327690 DNX327690 DXT327690 EHP327690 ERL327690 FBH327690 FLD327690 FUZ327690 GEV327690 GOR327690 GYN327690 HIJ327690 HSF327690 ICB327690 ILX327690 IVT327690 JFP327690 JPL327690 JZH327690 KJD327690 KSZ327690 LCV327690 LMR327690 LWN327690 MGJ327690 MQF327690 NAB327690 NJX327690 NTT327690 ODP327690 ONL327690 OXH327690 PHD327690 PQZ327690 QAV327690 QKR327690 QUN327690 REJ327690 ROF327690 RYB327690 SHX327690 SRT327690 TBP327690 TLL327690 TVH327690 UFD327690 UOZ327690 UYV327690 VIR327690 VSN327690 WCJ327690 WMF327690 WWB327690 T393226 JP393226 TL393226 ADH393226 AND393226 AWZ393226 BGV393226 BQR393226 CAN393226 CKJ393226 CUF393226 DEB393226 DNX393226 DXT393226 EHP393226 ERL393226 FBH393226 FLD393226 FUZ393226 GEV393226 GOR393226 GYN393226 HIJ393226 HSF393226 ICB393226 ILX393226 IVT393226 JFP393226 JPL393226 JZH393226 KJD393226 KSZ393226 LCV393226 LMR393226 LWN393226 MGJ393226 MQF393226 NAB393226 NJX393226 NTT393226 ODP393226 ONL393226 OXH393226 PHD393226 PQZ393226 QAV393226 QKR393226 QUN393226 REJ393226 ROF393226 RYB393226 SHX393226 SRT393226 TBP393226 TLL393226 TVH393226 UFD393226 UOZ393226 UYV393226 VIR393226 VSN393226 WCJ393226 WMF393226 WWB393226 T458762 JP458762 TL458762 ADH458762 AND458762 AWZ458762 BGV458762 BQR458762 CAN458762 CKJ458762 CUF458762 DEB458762 DNX458762 DXT458762 EHP458762 ERL458762 FBH458762 FLD458762 FUZ458762 GEV458762 GOR458762 GYN458762 HIJ458762 HSF458762 ICB458762 ILX458762 IVT458762 JFP458762 JPL458762 JZH458762 KJD458762 KSZ458762 LCV458762 LMR458762 LWN458762 MGJ458762 MQF458762 NAB458762 NJX458762 NTT458762 ODP458762 ONL458762 OXH458762 PHD458762 PQZ458762 QAV458762 QKR458762 QUN458762 REJ458762 ROF458762 RYB458762 SHX458762 SRT458762 TBP458762 TLL458762 TVH458762 UFD458762 UOZ458762 UYV458762 VIR458762 VSN458762 WCJ458762 WMF458762 WWB458762 T524298 JP524298 TL524298 ADH524298 AND524298 AWZ524298 BGV524298 BQR524298 CAN524298 CKJ524298 CUF524298 DEB524298 DNX524298 DXT524298 EHP524298 ERL524298 FBH524298 FLD524298 FUZ524298 GEV524298 GOR524298 GYN524298 HIJ524298 HSF524298 ICB524298 ILX524298 IVT524298 JFP524298 JPL524298 JZH524298 KJD524298 KSZ524298 LCV524298 LMR524298 LWN524298 MGJ524298 MQF524298 NAB524298 NJX524298 NTT524298 ODP524298 ONL524298 OXH524298 PHD524298 PQZ524298 QAV524298 QKR524298 QUN524298 REJ524298 ROF524298 RYB524298 SHX524298 SRT524298 TBP524298 TLL524298 TVH524298 UFD524298 UOZ524298 UYV524298 VIR524298 VSN524298 WCJ524298 WMF524298 WWB524298 T589834 JP589834 TL589834 ADH589834 AND589834 AWZ589834 BGV589834 BQR589834 CAN589834 CKJ589834 CUF589834 DEB589834 DNX589834 DXT589834 EHP589834 ERL589834 FBH589834 FLD589834 FUZ589834 GEV589834 GOR589834 GYN589834 HIJ589834 HSF589834 ICB589834 ILX589834 IVT589834 JFP589834 JPL589834 JZH589834 KJD589834 KSZ589834 LCV589834 LMR589834 LWN589834 MGJ589834 MQF589834 NAB589834 NJX589834 NTT589834 ODP589834 ONL589834 OXH589834 PHD589834 PQZ589834 QAV589834 QKR589834 QUN589834 REJ589834 ROF589834 RYB589834 SHX589834 SRT589834 TBP589834 TLL589834 TVH589834 UFD589834 UOZ589834 UYV589834 VIR589834 VSN589834 WCJ589834 WMF589834 WWB589834 T655370 JP655370 TL655370 ADH655370 AND655370 AWZ655370 BGV655370 BQR655370 CAN655370 CKJ655370 CUF655370 DEB655370 DNX655370 DXT655370 EHP655370 ERL655370 FBH655370 FLD655370 FUZ655370 GEV655370 GOR655370 GYN655370 HIJ655370 HSF655370 ICB655370 ILX655370 IVT655370 JFP655370 JPL655370 JZH655370 KJD655370 KSZ655370 LCV655370 LMR655370 LWN655370 MGJ655370 MQF655370 NAB655370 NJX655370 NTT655370 ODP655370 ONL655370 OXH655370 PHD655370 PQZ655370 QAV655370 QKR655370 QUN655370 REJ655370 ROF655370 RYB655370 SHX655370 SRT655370 TBP655370 TLL655370 TVH655370 UFD655370 UOZ655370 UYV655370 VIR655370 VSN655370 WCJ655370 WMF655370 WWB655370 T720906 JP720906 TL720906 ADH720906 AND720906 AWZ720906 BGV720906 BQR720906 CAN720906 CKJ720906 CUF720906 DEB720906 DNX720906 DXT720906 EHP720906 ERL720906 FBH720906 FLD720906 FUZ720906 GEV720906 GOR720906 GYN720906 HIJ720906 HSF720906 ICB720906 ILX720906 IVT720906 JFP720906 JPL720906 JZH720906 KJD720906 KSZ720906 LCV720906 LMR720906 LWN720906 MGJ720906 MQF720906 NAB720906 NJX720906 NTT720906 ODP720906 ONL720906 OXH720906 PHD720906 PQZ720906 QAV720906 QKR720906 QUN720906 REJ720906 ROF720906 RYB720906 SHX720906 SRT720906 TBP720906 TLL720906 TVH720906 UFD720906 UOZ720906 UYV720906 VIR720906 VSN720906 WCJ720906 WMF720906 WWB720906 T786442 JP786442 TL786442 ADH786442 AND786442 AWZ786442 BGV786442 BQR786442 CAN786442 CKJ786442 CUF786442 DEB786442 DNX786442 DXT786442 EHP786442 ERL786442 FBH786442 FLD786442 FUZ786442 GEV786442 GOR786442 GYN786442 HIJ786442 HSF786442 ICB786442 ILX786442 IVT786442 JFP786442 JPL786442 JZH786442 KJD786442 KSZ786442 LCV786442 LMR786442 LWN786442 MGJ786442 MQF786442 NAB786442 NJX786442 NTT786442 ODP786442 ONL786442 OXH786442 PHD786442 PQZ786442 QAV786442 QKR786442 QUN786442 REJ786442 ROF786442 RYB786442 SHX786442 SRT786442 TBP786442 TLL786442 TVH786442 UFD786442 UOZ786442 UYV786442 VIR786442 VSN786442 WCJ786442 WMF786442 WWB786442 T851978 JP851978 TL851978 ADH851978 AND851978 AWZ851978 BGV851978 BQR851978 CAN851978 CKJ851978 CUF851978 DEB851978 DNX851978 DXT851978 EHP851978 ERL851978 FBH851978 FLD851978 FUZ851978 GEV851978 GOR851978 GYN851978 HIJ851978 HSF851978 ICB851978 ILX851978 IVT851978 JFP851978 JPL851978 JZH851978 KJD851978 KSZ851978 LCV851978 LMR851978 LWN851978 MGJ851978 MQF851978 NAB851978 NJX851978 NTT851978 ODP851978 ONL851978 OXH851978 PHD851978 PQZ851978 QAV851978 QKR851978 QUN851978 REJ851978 ROF851978 RYB851978 SHX851978 SRT851978 TBP851978 TLL851978 TVH851978 UFD851978 UOZ851978 UYV851978 VIR851978 VSN851978 WCJ851978 WMF851978 WWB851978 T917514 JP917514 TL917514 ADH917514 AND917514 AWZ917514 BGV917514 BQR917514 CAN917514 CKJ917514 CUF917514 DEB917514 DNX917514 DXT917514 EHP917514 ERL917514 FBH917514 FLD917514 FUZ917514 GEV917514 GOR917514 GYN917514 HIJ917514 HSF917514 ICB917514 ILX917514 IVT917514 JFP917514 JPL917514 JZH917514 KJD917514 KSZ917514 LCV917514 LMR917514 LWN917514 MGJ917514 MQF917514 NAB917514 NJX917514 NTT917514 ODP917514 ONL917514 OXH917514 PHD917514 PQZ917514 QAV917514 QKR917514 QUN917514 REJ917514 ROF917514 RYB917514 SHX917514 SRT917514 TBP917514 TLL917514 TVH917514 UFD917514 UOZ917514 UYV917514 VIR917514 VSN917514 WCJ917514 WMF917514 WWB917514 T983050 JP983050 TL983050 ADH983050 AND983050 AWZ983050 BGV983050 BQR983050 CAN983050 CKJ983050 CUF983050 DEB983050 DNX983050 DXT983050 EHP983050 ERL983050 FBH983050 FLD983050 FUZ983050 GEV983050 GOR983050 GYN983050 HIJ983050 HSF983050 ICB983050 ILX983050 IVT983050 JFP983050 JPL983050 JZH983050 KJD983050 KSZ983050 LCV983050 LMR983050 LWN983050 MGJ983050 MQF983050 NAB983050 NJX983050 NTT983050 ODP983050 ONL983050 OXH983050 PHD983050 PQZ983050 QAV983050 QKR983050 QUN983050 REJ983050 ROF983050 RYB983050 SHX983050 SRT983050 TBP983050 TLL983050 TVH983050 UFD983050 UOZ983050 UYV983050 VIR983050 VSN983050 WCJ983050 WMF983050 WWB983050 AE6 KA6 TW6 ADS6 ANO6 AXK6 BHG6 BRC6 CAY6 CKU6 CUQ6 DEM6 DOI6 DYE6 EIA6 ERW6 FBS6 FLO6 FVK6 GFG6 GPC6 GYY6 HIU6 HSQ6 ICM6 IMI6 IWE6 JGA6 JPW6 JZS6 KJO6 KTK6 LDG6 LNC6 LWY6 MGU6 MQQ6 NAM6 NKI6 NUE6 OEA6 ONW6 OXS6 PHO6 PRK6 QBG6 QLC6 QUY6 REU6 ROQ6 RYM6 SII6 SSE6 TCA6 TLW6 TVS6 UFO6 UPK6 UZG6 VJC6 VSY6 WCU6 WMQ6 WWM6 AE65542 KA65542 TW65542 ADS65542 ANO65542 AXK65542 BHG65542 BRC65542 CAY65542 CKU65542 CUQ65542 DEM65542 DOI65542 DYE65542 EIA65542 ERW65542 FBS65542 FLO65542 FVK65542 GFG65542 GPC65542 GYY65542 HIU65542 HSQ65542 ICM65542 IMI65542 IWE65542 JGA65542 JPW65542 JZS65542 KJO65542 KTK65542 LDG65542 LNC65542 LWY65542 MGU65542 MQQ65542 NAM65542 NKI65542 NUE65542 OEA65542 ONW65542 OXS65542 PHO65542 PRK65542 QBG65542 QLC65542 QUY65542 REU65542 ROQ65542 RYM65542 SII65542 SSE65542 TCA65542 TLW65542 TVS65542 UFO65542 UPK65542 UZG65542 VJC65542 VSY65542 WCU65542 WMQ65542 WWM65542 AE131078 KA131078 TW131078 ADS131078 ANO131078 AXK131078 BHG131078 BRC131078 CAY131078 CKU131078 CUQ131078 DEM131078 DOI131078 DYE131078 EIA131078 ERW131078 FBS131078 FLO131078 FVK131078 GFG131078 GPC131078 GYY131078 HIU131078 HSQ131078 ICM131078 IMI131078 IWE131078 JGA131078 JPW131078 JZS131078 KJO131078 KTK131078 LDG131078 LNC131078 LWY131078 MGU131078 MQQ131078 NAM131078 NKI131078 NUE131078 OEA131078 ONW131078 OXS131078 PHO131078 PRK131078 QBG131078 QLC131078 QUY131078 REU131078 ROQ131078 RYM131078 SII131078 SSE131078 TCA131078 TLW131078 TVS131078 UFO131078 UPK131078 UZG131078 VJC131078 VSY131078 WCU131078 WMQ131078 WWM131078 AE196614 KA196614 TW196614 ADS196614 ANO196614 AXK196614 BHG196614 BRC196614 CAY196614 CKU196614 CUQ196614 DEM196614 DOI196614 DYE196614 EIA196614 ERW196614 FBS196614 FLO196614 FVK196614 GFG196614 GPC196614 GYY196614 HIU196614 HSQ196614 ICM196614 IMI196614 IWE196614 JGA196614 JPW196614 JZS196614 KJO196614 KTK196614 LDG196614 LNC196614 LWY196614 MGU196614 MQQ196614 NAM196614 NKI196614 NUE196614 OEA196614 ONW196614 OXS196614 PHO196614 PRK196614 QBG196614 QLC196614 QUY196614 REU196614 ROQ196614 RYM196614 SII196614 SSE196614 TCA196614 TLW196614 TVS196614 UFO196614 UPK196614 UZG196614 VJC196614 VSY196614 WCU196614 WMQ196614 WWM196614 AE262150 KA262150 TW262150 ADS262150 ANO262150 AXK262150 BHG262150 BRC262150 CAY262150 CKU262150 CUQ262150 DEM262150 DOI262150 DYE262150 EIA262150 ERW262150 FBS262150 FLO262150 FVK262150 GFG262150 GPC262150 GYY262150 HIU262150 HSQ262150 ICM262150 IMI262150 IWE262150 JGA262150 JPW262150 JZS262150 KJO262150 KTK262150 LDG262150 LNC262150 LWY262150 MGU262150 MQQ262150 NAM262150 NKI262150 NUE262150 OEA262150 ONW262150 OXS262150 PHO262150 PRK262150 QBG262150 QLC262150 QUY262150 REU262150 ROQ262150 RYM262150 SII262150 SSE262150 TCA262150 TLW262150 TVS262150 UFO262150 UPK262150 UZG262150 VJC262150 VSY262150 WCU262150 WMQ262150 WWM262150 AE327686 KA327686 TW327686 ADS327686 ANO327686 AXK327686 BHG327686 BRC327686 CAY327686 CKU327686 CUQ327686 DEM327686 DOI327686 DYE327686 EIA327686 ERW327686 FBS327686 FLO327686 FVK327686 GFG327686 GPC327686 GYY327686 HIU327686 HSQ327686 ICM327686 IMI327686 IWE327686 JGA327686 JPW327686 JZS327686 KJO327686 KTK327686 LDG327686 LNC327686 LWY327686 MGU327686 MQQ327686 NAM327686 NKI327686 NUE327686 OEA327686 ONW327686 OXS327686 PHO327686 PRK327686 QBG327686 QLC327686 QUY327686 REU327686 ROQ327686 RYM327686 SII327686 SSE327686 TCA327686 TLW327686 TVS327686 UFO327686 UPK327686 UZG327686 VJC327686 VSY327686 WCU327686 WMQ327686 WWM327686 AE393222 KA393222 TW393222 ADS393222 ANO393222 AXK393222 BHG393222 BRC393222 CAY393222 CKU393222 CUQ393222 DEM393222 DOI393222 DYE393222 EIA393222 ERW393222 FBS393222 FLO393222 FVK393222 GFG393222 GPC393222 GYY393222 HIU393222 HSQ393222 ICM393222 IMI393222 IWE393222 JGA393222 JPW393222 JZS393222 KJO393222 KTK393222 LDG393222 LNC393222 LWY393222 MGU393222 MQQ393222 NAM393222 NKI393222 NUE393222 OEA393222 ONW393222 OXS393222 PHO393222 PRK393222 QBG393222 QLC393222 QUY393222 REU393222 ROQ393222 RYM393222 SII393222 SSE393222 TCA393222 TLW393222 TVS393222 UFO393222 UPK393222 UZG393222 VJC393222 VSY393222 WCU393222 WMQ393222 WWM393222 AE458758 KA458758 TW458758 ADS458758 ANO458758 AXK458758 BHG458758 BRC458758 CAY458758 CKU458758 CUQ458758 DEM458758 DOI458758 DYE458758 EIA458758 ERW458758 FBS458758 FLO458758 FVK458758 GFG458758 GPC458758 GYY458758 HIU458758 HSQ458758 ICM458758 IMI458758 IWE458758 JGA458758 JPW458758 JZS458758 KJO458758 KTK458758 LDG458758 LNC458758 LWY458758 MGU458758 MQQ458758 NAM458758 NKI458758 NUE458758 OEA458758 ONW458758 OXS458758 PHO458758 PRK458758 QBG458758 QLC458758 QUY458758 REU458758 ROQ458758 RYM458758 SII458758 SSE458758 TCA458758 TLW458758 TVS458758 UFO458758 UPK458758 UZG458758 VJC458758 VSY458758 WCU458758 WMQ458758 WWM458758 AE524294 KA524294 TW524294 ADS524294 ANO524294 AXK524294 BHG524294 BRC524294 CAY524294 CKU524294 CUQ524294 DEM524294 DOI524294 DYE524294 EIA524294 ERW524294 FBS524294 FLO524294 FVK524294 GFG524294 GPC524294 GYY524294 HIU524294 HSQ524294 ICM524294 IMI524294 IWE524294 JGA524294 JPW524294 JZS524294 KJO524294 KTK524294 LDG524294 LNC524294 LWY524294 MGU524294 MQQ524294 NAM524294 NKI524294 NUE524294 OEA524294 ONW524294 OXS524294 PHO524294 PRK524294 QBG524294 QLC524294 QUY524294 REU524294 ROQ524294 RYM524294 SII524294 SSE524294 TCA524294 TLW524294 TVS524294 UFO524294 UPK524294 UZG524294 VJC524294 VSY524294 WCU524294 WMQ524294 WWM524294 AE589830 KA589830 TW589830 ADS589830 ANO589830 AXK589830 BHG589830 BRC589830 CAY589830 CKU589830 CUQ589830 DEM589830 DOI589830 DYE589830 EIA589830 ERW589830 FBS589830 FLO589830 FVK589830 GFG589830 GPC589830 GYY589830 HIU589830 HSQ589830 ICM589830 IMI589830 IWE589830 JGA589830 JPW589830 JZS589830 KJO589830 KTK589830 LDG589830 LNC589830 LWY589830 MGU589830 MQQ589830 NAM589830 NKI589830 NUE589830 OEA589830 ONW589830 OXS589830 PHO589830 PRK589830 QBG589830 QLC589830 QUY589830 REU589830 ROQ589830 RYM589830 SII589830 SSE589830 TCA589830 TLW589830 TVS589830 UFO589830 UPK589830 UZG589830 VJC589830 VSY589830 WCU589830 WMQ589830 WWM589830 AE655366 KA655366 TW655366 ADS655366 ANO655366 AXK655366 BHG655366 BRC655366 CAY655366 CKU655366 CUQ655366 DEM655366 DOI655366 DYE655366 EIA655366 ERW655366 FBS655366 FLO655366 FVK655366 GFG655366 GPC655366 GYY655366 HIU655366 HSQ655366 ICM655366 IMI655366 IWE655366 JGA655366 JPW655366 JZS655366 KJO655366 KTK655366 LDG655366 LNC655366 LWY655366 MGU655366 MQQ655366 NAM655366 NKI655366 NUE655366 OEA655366 ONW655366 OXS655366 PHO655366 PRK655366 QBG655366 QLC655366 QUY655366 REU655366 ROQ655366 RYM655366 SII655366 SSE655366 TCA655366 TLW655366 TVS655366 UFO655366 UPK655366 UZG655366 VJC655366 VSY655366 WCU655366 WMQ655366 WWM655366 AE720902 KA720902 TW720902 ADS720902 ANO720902 AXK720902 BHG720902 BRC720902 CAY720902 CKU720902 CUQ720902 DEM720902 DOI720902 DYE720902 EIA720902 ERW720902 FBS720902 FLO720902 FVK720902 GFG720902 GPC720902 GYY720902 HIU720902 HSQ720902 ICM720902 IMI720902 IWE720902 JGA720902 JPW720902 JZS720902 KJO720902 KTK720902 LDG720902 LNC720902 LWY720902 MGU720902 MQQ720902 NAM720902 NKI720902 NUE720902 OEA720902 ONW720902 OXS720902 PHO720902 PRK720902 QBG720902 QLC720902 QUY720902 REU720902 ROQ720902 RYM720902 SII720902 SSE720902 TCA720902 TLW720902 TVS720902 UFO720902 UPK720902 UZG720902 VJC720902 VSY720902 WCU720902 WMQ720902 WWM720902 AE786438 KA786438 TW786438 ADS786438 ANO786438 AXK786438 BHG786438 BRC786438 CAY786438 CKU786438 CUQ786438 DEM786438 DOI786438 DYE786438 EIA786438 ERW786438 FBS786438 FLO786438 FVK786438 GFG786438 GPC786438 GYY786438 HIU786438 HSQ786438 ICM786438 IMI786438 IWE786438 JGA786438 JPW786438 JZS786438 KJO786438 KTK786438 LDG786438 LNC786438 LWY786438 MGU786438 MQQ786438 NAM786438 NKI786438 NUE786438 OEA786438 ONW786438 OXS786438 PHO786438 PRK786438 QBG786438 QLC786438 QUY786438 REU786438 ROQ786438 RYM786438 SII786438 SSE786438 TCA786438 TLW786438 TVS786438 UFO786438 UPK786438 UZG786438 VJC786438 VSY786438 WCU786438 WMQ786438 WWM786438 AE851974 KA851974 TW851974 ADS851974 ANO851974 AXK851974 BHG851974 BRC851974 CAY851974 CKU851974 CUQ851974 DEM851974 DOI851974 DYE851974 EIA851974 ERW851974 FBS851974 FLO851974 FVK851974 GFG851974 GPC851974 GYY851974 HIU851974 HSQ851974 ICM851974 IMI851974 IWE851974 JGA851974 JPW851974 JZS851974 KJO851974 KTK851974 LDG851974 LNC851974 LWY851974 MGU851974 MQQ851974 NAM851974 NKI851974 NUE851974 OEA851974 ONW851974 OXS851974 PHO851974 PRK851974 QBG851974 QLC851974 QUY851974 REU851974 ROQ851974 RYM851974 SII851974 SSE851974 TCA851974 TLW851974 TVS851974 UFO851974 UPK851974 UZG851974 VJC851974 VSY851974 WCU851974 WMQ851974 WWM851974 AE917510 KA917510 TW917510 ADS917510 ANO917510 AXK917510 BHG917510 BRC917510 CAY917510 CKU917510 CUQ917510 DEM917510 DOI917510 DYE917510 EIA917510 ERW917510 FBS917510 FLO917510 FVK917510 GFG917510 GPC917510 GYY917510 HIU917510 HSQ917510 ICM917510 IMI917510 IWE917510 JGA917510 JPW917510 JZS917510 KJO917510 KTK917510 LDG917510 LNC917510 LWY917510 MGU917510 MQQ917510 NAM917510 NKI917510 NUE917510 OEA917510 ONW917510 OXS917510 PHO917510 PRK917510 QBG917510 QLC917510 QUY917510 REU917510 ROQ917510 RYM917510 SII917510 SSE917510 TCA917510 TLW917510 TVS917510 UFO917510 UPK917510 UZG917510 VJC917510 VSY917510 WCU917510 WMQ917510 WWM917510 AE983046 KA983046 TW983046 ADS983046 ANO983046 AXK983046 BHG983046 BRC983046 CAY983046 CKU983046 CUQ983046 DEM983046 DOI983046 DYE983046 EIA983046 ERW983046 FBS983046 FLO983046 FVK983046 GFG983046 GPC983046 GYY983046 HIU983046 HSQ983046 ICM983046 IMI983046 IWE983046 JGA983046 JPW983046 JZS983046 KJO983046 KTK983046 LDG983046 LNC983046 LWY983046 MGU983046 MQQ983046 NAM983046 NKI983046 NUE983046 OEA983046 ONW983046 OXS983046 PHO983046 PRK983046 QBG983046 QLC983046 QUY983046 REU983046 ROQ983046 RYM983046 SII983046 SSE983046 TCA983046 TLW983046 TVS983046 UFO983046 UPK983046 UZG983046 VJC983046 VSY983046 WCU983046 WMQ983046 WWM983046 V22:W22 JR22:JS22 TN22:TO22 ADJ22:ADK22 ANF22:ANG22 AXB22:AXC22 BGX22:BGY22 BQT22:BQU22 CAP22:CAQ22 CKL22:CKM22 CUH22:CUI22 DED22:DEE22 DNZ22:DOA22 DXV22:DXW22 EHR22:EHS22 ERN22:ERO22 FBJ22:FBK22 FLF22:FLG22 FVB22:FVC22 GEX22:GEY22 GOT22:GOU22 GYP22:GYQ22 HIL22:HIM22 HSH22:HSI22 ICD22:ICE22 ILZ22:IMA22 IVV22:IVW22 JFR22:JFS22 JPN22:JPO22 JZJ22:JZK22 KJF22:KJG22 KTB22:KTC22 LCX22:LCY22 LMT22:LMU22 LWP22:LWQ22 MGL22:MGM22 MQH22:MQI22 NAD22:NAE22 NJZ22:NKA22 NTV22:NTW22 ODR22:ODS22 ONN22:ONO22 OXJ22:OXK22 PHF22:PHG22 PRB22:PRC22 QAX22:QAY22 QKT22:QKU22 QUP22:QUQ22 REL22:REM22 ROH22:ROI22 RYD22:RYE22 SHZ22:SIA22 SRV22:SRW22 TBR22:TBS22 TLN22:TLO22 TVJ22:TVK22 UFF22:UFG22 UPB22:UPC22 UYX22:UYY22 VIT22:VIU22 VSP22:VSQ22 WCL22:WCM22 WMH22:WMI22 WWD22:WWE22 V65558:W65558 JR65558:JS65558 TN65558:TO65558 ADJ65558:ADK65558 ANF65558:ANG65558 AXB65558:AXC65558 BGX65558:BGY65558 BQT65558:BQU65558 CAP65558:CAQ65558 CKL65558:CKM65558 CUH65558:CUI65558 DED65558:DEE65558 DNZ65558:DOA65558 DXV65558:DXW65558 EHR65558:EHS65558 ERN65558:ERO65558 FBJ65558:FBK65558 FLF65558:FLG65558 FVB65558:FVC65558 GEX65558:GEY65558 GOT65558:GOU65558 GYP65558:GYQ65558 HIL65558:HIM65558 HSH65558:HSI65558 ICD65558:ICE65558 ILZ65558:IMA65558 IVV65558:IVW65558 JFR65558:JFS65558 JPN65558:JPO65558 JZJ65558:JZK65558 KJF65558:KJG65558 KTB65558:KTC65558 LCX65558:LCY65558 LMT65558:LMU65558 LWP65558:LWQ65558 MGL65558:MGM65558 MQH65558:MQI65558 NAD65558:NAE65558 NJZ65558:NKA65558 NTV65558:NTW65558 ODR65558:ODS65558 ONN65558:ONO65558 OXJ65558:OXK65558 PHF65558:PHG65558 PRB65558:PRC65558 QAX65558:QAY65558 QKT65558:QKU65558 QUP65558:QUQ65558 REL65558:REM65558 ROH65558:ROI65558 RYD65558:RYE65558 SHZ65558:SIA65558 SRV65558:SRW65558 TBR65558:TBS65558 TLN65558:TLO65558 TVJ65558:TVK65558 UFF65558:UFG65558 UPB65558:UPC65558 UYX65558:UYY65558 VIT65558:VIU65558 VSP65558:VSQ65558 WCL65558:WCM65558 WMH65558:WMI65558 WWD65558:WWE65558 V131094:W131094 JR131094:JS131094 TN131094:TO131094 ADJ131094:ADK131094 ANF131094:ANG131094 AXB131094:AXC131094 BGX131094:BGY131094 BQT131094:BQU131094 CAP131094:CAQ131094 CKL131094:CKM131094 CUH131094:CUI131094 DED131094:DEE131094 DNZ131094:DOA131094 DXV131094:DXW131094 EHR131094:EHS131094 ERN131094:ERO131094 FBJ131094:FBK131094 FLF131094:FLG131094 FVB131094:FVC131094 GEX131094:GEY131094 GOT131094:GOU131094 GYP131094:GYQ131094 HIL131094:HIM131094 HSH131094:HSI131094 ICD131094:ICE131094 ILZ131094:IMA131094 IVV131094:IVW131094 JFR131094:JFS131094 JPN131094:JPO131094 JZJ131094:JZK131094 KJF131094:KJG131094 KTB131094:KTC131094 LCX131094:LCY131094 LMT131094:LMU131094 LWP131094:LWQ131094 MGL131094:MGM131094 MQH131094:MQI131094 NAD131094:NAE131094 NJZ131094:NKA131094 NTV131094:NTW131094 ODR131094:ODS131094 ONN131094:ONO131094 OXJ131094:OXK131094 PHF131094:PHG131094 PRB131094:PRC131094 QAX131094:QAY131094 QKT131094:QKU131094 QUP131094:QUQ131094 REL131094:REM131094 ROH131094:ROI131094 RYD131094:RYE131094 SHZ131094:SIA131094 SRV131094:SRW131094 TBR131094:TBS131094 TLN131094:TLO131094 TVJ131094:TVK131094 UFF131094:UFG131094 UPB131094:UPC131094 UYX131094:UYY131094 VIT131094:VIU131094 VSP131094:VSQ131094 WCL131094:WCM131094 WMH131094:WMI131094 WWD131094:WWE131094 V196630:W196630 JR196630:JS196630 TN196630:TO196630 ADJ196630:ADK196630 ANF196630:ANG196630 AXB196630:AXC196630 BGX196630:BGY196630 BQT196630:BQU196630 CAP196630:CAQ196630 CKL196630:CKM196630 CUH196630:CUI196630 DED196630:DEE196630 DNZ196630:DOA196630 DXV196630:DXW196630 EHR196630:EHS196630 ERN196630:ERO196630 FBJ196630:FBK196630 FLF196630:FLG196630 FVB196630:FVC196630 GEX196630:GEY196630 GOT196630:GOU196630 GYP196630:GYQ196630 HIL196630:HIM196630 HSH196630:HSI196630 ICD196630:ICE196630 ILZ196630:IMA196630 IVV196630:IVW196630 JFR196630:JFS196630 JPN196630:JPO196630 JZJ196630:JZK196630 KJF196630:KJG196630 KTB196630:KTC196630 LCX196630:LCY196630 LMT196630:LMU196630 LWP196630:LWQ196630 MGL196630:MGM196630 MQH196630:MQI196630 NAD196630:NAE196630 NJZ196630:NKA196630 NTV196630:NTW196630 ODR196630:ODS196630 ONN196630:ONO196630 OXJ196630:OXK196630 PHF196630:PHG196630 PRB196630:PRC196630 QAX196630:QAY196630 QKT196630:QKU196630 QUP196630:QUQ196630 REL196630:REM196630 ROH196630:ROI196630 RYD196630:RYE196630 SHZ196630:SIA196630 SRV196630:SRW196630 TBR196630:TBS196630 TLN196630:TLO196630 TVJ196630:TVK196630 UFF196630:UFG196630 UPB196630:UPC196630 UYX196630:UYY196630 VIT196630:VIU196630 VSP196630:VSQ196630 WCL196630:WCM196630 WMH196630:WMI196630 WWD196630:WWE196630 V262166:W262166 JR262166:JS262166 TN262166:TO262166 ADJ262166:ADK262166 ANF262166:ANG262166 AXB262166:AXC262166 BGX262166:BGY262166 BQT262166:BQU262166 CAP262166:CAQ262166 CKL262166:CKM262166 CUH262166:CUI262166 DED262166:DEE262166 DNZ262166:DOA262166 DXV262166:DXW262166 EHR262166:EHS262166 ERN262166:ERO262166 FBJ262166:FBK262166 FLF262166:FLG262166 FVB262166:FVC262166 GEX262166:GEY262166 GOT262166:GOU262166 GYP262166:GYQ262166 HIL262166:HIM262166 HSH262166:HSI262166 ICD262166:ICE262166 ILZ262166:IMA262166 IVV262166:IVW262166 JFR262166:JFS262166 JPN262166:JPO262166 JZJ262166:JZK262166 KJF262166:KJG262166 KTB262166:KTC262166 LCX262166:LCY262166 LMT262166:LMU262166 LWP262166:LWQ262166 MGL262166:MGM262166 MQH262166:MQI262166 NAD262166:NAE262166 NJZ262166:NKA262166 NTV262166:NTW262166 ODR262166:ODS262166 ONN262166:ONO262166 OXJ262166:OXK262166 PHF262166:PHG262166 PRB262166:PRC262166 QAX262166:QAY262166 QKT262166:QKU262166 QUP262166:QUQ262166 REL262166:REM262166 ROH262166:ROI262166 RYD262166:RYE262166 SHZ262166:SIA262166 SRV262166:SRW262166 TBR262166:TBS262166 TLN262166:TLO262166 TVJ262166:TVK262166 UFF262166:UFG262166 UPB262166:UPC262166 UYX262166:UYY262166 VIT262166:VIU262166 VSP262166:VSQ262166 WCL262166:WCM262166 WMH262166:WMI262166 WWD262166:WWE262166 V327702:W327702 JR327702:JS327702 TN327702:TO327702 ADJ327702:ADK327702 ANF327702:ANG327702 AXB327702:AXC327702 BGX327702:BGY327702 BQT327702:BQU327702 CAP327702:CAQ327702 CKL327702:CKM327702 CUH327702:CUI327702 DED327702:DEE327702 DNZ327702:DOA327702 DXV327702:DXW327702 EHR327702:EHS327702 ERN327702:ERO327702 FBJ327702:FBK327702 FLF327702:FLG327702 FVB327702:FVC327702 GEX327702:GEY327702 GOT327702:GOU327702 GYP327702:GYQ327702 HIL327702:HIM327702 HSH327702:HSI327702 ICD327702:ICE327702 ILZ327702:IMA327702 IVV327702:IVW327702 JFR327702:JFS327702 JPN327702:JPO327702 JZJ327702:JZK327702 KJF327702:KJG327702 KTB327702:KTC327702 LCX327702:LCY327702 LMT327702:LMU327702 LWP327702:LWQ327702 MGL327702:MGM327702 MQH327702:MQI327702 NAD327702:NAE327702 NJZ327702:NKA327702 NTV327702:NTW327702 ODR327702:ODS327702 ONN327702:ONO327702 OXJ327702:OXK327702 PHF327702:PHG327702 PRB327702:PRC327702 QAX327702:QAY327702 QKT327702:QKU327702 QUP327702:QUQ327702 REL327702:REM327702 ROH327702:ROI327702 RYD327702:RYE327702 SHZ327702:SIA327702 SRV327702:SRW327702 TBR327702:TBS327702 TLN327702:TLO327702 TVJ327702:TVK327702 UFF327702:UFG327702 UPB327702:UPC327702 UYX327702:UYY327702 VIT327702:VIU327702 VSP327702:VSQ327702 WCL327702:WCM327702 WMH327702:WMI327702 WWD327702:WWE327702 V393238:W393238 JR393238:JS393238 TN393238:TO393238 ADJ393238:ADK393238 ANF393238:ANG393238 AXB393238:AXC393238 BGX393238:BGY393238 BQT393238:BQU393238 CAP393238:CAQ393238 CKL393238:CKM393238 CUH393238:CUI393238 DED393238:DEE393238 DNZ393238:DOA393238 DXV393238:DXW393238 EHR393238:EHS393238 ERN393238:ERO393238 FBJ393238:FBK393238 FLF393238:FLG393238 FVB393238:FVC393238 GEX393238:GEY393238 GOT393238:GOU393238 GYP393238:GYQ393238 HIL393238:HIM393238 HSH393238:HSI393238 ICD393238:ICE393238 ILZ393238:IMA393238 IVV393238:IVW393238 JFR393238:JFS393238 JPN393238:JPO393238 JZJ393238:JZK393238 KJF393238:KJG393238 KTB393238:KTC393238 LCX393238:LCY393238 LMT393238:LMU393238 LWP393238:LWQ393238 MGL393238:MGM393238 MQH393238:MQI393238 NAD393238:NAE393238 NJZ393238:NKA393238 NTV393238:NTW393238 ODR393238:ODS393238 ONN393238:ONO393238 OXJ393238:OXK393238 PHF393238:PHG393238 PRB393238:PRC393238 QAX393238:QAY393238 QKT393238:QKU393238 QUP393238:QUQ393238 REL393238:REM393238 ROH393238:ROI393238 RYD393238:RYE393238 SHZ393238:SIA393238 SRV393238:SRW393238 TBR393238:TBS393238 TLN393238:TLO393238 TVJ393238:TVK393238 UFF393238:UFG393238 UPB393238:UPC393238 UYX393238:UYY393238 VIT393238:VIU393238 VSP393238:VSQ393238 WCL393238:WCM393238 WMH393238:WMI393238 WWD393238:WWE393238 V458774:W458774 JR458774:JS458774 TN458774:TO458774 ADJ458774:ADK458774 ANF458774:ANG458774 AXB458774:AXC458774 BGX458774:BGY458774 BQT458774:BQU458774 CAP458774:CAQ458774 CKL458774:CKM458774 CUH458774:CUI458774 DED458774:DEE458774 DNZ458774:DOA458774 DXV458774:DXW458774 EHR458774:EHS458774 ERN458774:ERO458774 FBJ458774:FBK458774 FLF458774:FLG458774 FVB458774:FVC458774 GEX458774:GEY458774 GOT458774:GOU458774 GYP458774:GYQ458774 HIL458774:HIM458774 HSH458774:HSI458774 ICD458774:ICE458774 ILZ458774:IMA458774 IVV458774:IVW458774 JFR458774:JFS458774 JPN458774:JPO458774 JZJ458774:JZK458774 KJF458774:KJG458774 KTB458774:KTC458774 LCX458774:LCY458774 LMT458774:LMU458774 LWP458774:LWQ458774 MGL458774:MGM458774 MQH458774:MQI458774 NAD458774:NAE458774 NJZ458774:NKA458774 NTV458774:NTW458774 ODR458774:ODS458774 ONN458774:ONO458774 OXJ458774:OXK458774 PHF458774:PHG458774 PRB458774:PRC458774 QAX458774:QAY458774 QKT458774:QKU458774 QUP458774:QUQ458774 REL458774:REM458774 ROH458774:ROI458774 RYD458774:RYE458774 SHZ458774:SIA458774 SRV458774:SRW458774 TBR458774:TBS458774 TLN458774:TLO458774 TVJ458774:TVK458774 UFF458774:UFG458774 UPB458774:UPC458774 UYX458774:UYY458774 VIT458774:VIU458774 VSP458774:VSQ458774 WCL458774:WCM458774 WMH458774:WMI458774 WWD458774:WWE458774 V524310:W524310 JR524310:JS524310 TN524310:TO524310 ADJ524310:ADK524310 ANF524310:ANG524310 AXB524310:AXC524310 BGX524310:BGY524310 BQT524310:BQU524310 CAP524310:CAQ524310 CKL524310:CKM524310 CUH524310:CUI524310 DED524310:DEE524310 DNZ524310:DOA524310 DXV524310:DXW524310 EHR524310:EHS524310 ERN524310:ERO524310 FBJ524310:FBK524310 FLF524310:FLG524310 FVB524310:FVC524310 GEX524310:GEY524310 GOT524310:GOU524310 GYP524310:GYQ524310 HIL524310:HIM524310 HSH524310:HSI524310 ICD524310:ICE524310 ILZ524310:IMA524310 IVV524310:IVW524310 JFR524310:JFS524310 JPN524310:JPO524310 JZJ524310:JZK524310 KJF524310:KJG524310 KTB524310:KTC524310 LCX524310:LCY524310 LMT524310:LMU524310 LWP524310:LWQ524310 MGL524310:MGM524310 MQH524310:MQI524310 NAD524310:NAE524310 NJZ524310:NKA524310 NTV524310:NTW524310 ODR524310:ODS524310 ONN524310:ONO524310 OXJ524310:OXK524310 PHF524310:PHG524310 PRB524310:PRC524310 QAX524310:QAY524310 QKT524310:QKU524310 QUP524310:QUQ524310 REL524310:REM524310 ROH524310:ROI524310 RYD524310:RYE524310 SHZ524310:SIA524310 SRV524310:SRW524310 TBR524310:TBS524310 TLN524310:TLO524310 TVJ524310:TVK524310 UFF524310:UFG524310 UPB524310:UPC524310 UYX524310:UYY524310 VIT524310:VIU524310 VSP524310:VSQ524310 WCL524310:WCM524310 WMH524310:WMI524310 WWD524310:WWE524310 V589846:W589846 JR589846:JS589846 TN589846:TO589846 ADJ589846:ADK589846 ANF589846:ANG589846 AXB589846:AXC589846 BGX589846:BGY589846 BQT589846:BQU589846 CAP589846:CAQ589846 CKL589846:CKM589846 CUH589846:CUI589846 DED589846:DEE589846 DNZ589846:DOA589846 DXV589846:DXW589846 EHR589846:EHS589846 ERN589846:ERO589846 FBJ589846:FBK589846 FLF589846:FLG589846 FVB589846:FVC589846 GEX589846:GEY589846 GOT589846:GOU589846 GYP589846:GYQ589846 HIL589846:HIM589846 HSH589846:HSI589846 ICD589846:ICE589846 ILZ589846:IMA589846 IVV589846:IVW589846 JFR589846:JFS589846 JPN589846:JPO589846 JZJ589846:JZK589846 KJF589846:KJG589846 KTB589846:KTC589846 LCX589846:LCY589846 LMT589846:LMU589846 LWP589846:LWQ589846 MGL589846:MGM589846 MQH589846:MQI589846 NAD589846:NAE589846 NJZ589846:NKA589846 NTV589846:NTW589846 ODR589846:ODS589846 ONN589846:ONO589846 OXJ589846:OXK589846 PHF589846:PHG589846 PRB589846:PRC589846 QAX589846:QAY589846 QKT589846:QKU589846 QUP589846:QUQ589846 REL589846:REM589846 ROH589846:ROI589846 RYD589846:RYE589846 SHZ589846:SIA589846 SRV589846:SRW589846 TBR589846:TBS589846 TLN589846:TLO589846 TVJ589846:TVK589846 UFF589846:UFG589846 UPB589846:UPC589846 UYX589846:UYY589846 VIT589846:VIU589846 VSP589846:VSQ589846 WCL589846:WCM589846 WMH589846:WMI589846 WWD589846:WWE589846 V655382:W655382 JR655382:JS655382 TN655382:TO655382 ADJ655382:ADK655382 ANF655382:ANG655382 AXB655382:AXC655382 BGX655382:BGY655382 BQT655382:BQU655382 CAP655382:CAQ655382 CKL655382:CKM655382 CUH655382:CUI655382 DED655382:DEE655382 DNZ655382:DOA655382 DXV655382:DXW655382 EHR655382:EHS655382 ERN655382:ERO655382 FBJ655382:FBK655382 FLF655382:FLG655382 FVB655382:FVC655382 GEX655382:GEY655382 GOT655382:GOU655382 GYP655382:GYQ655382 HIL655382:HIM655382 HSH655382:HSI655382 ICD655382:ICE655382 ILZ655382:IMA655382 IVV655382:IVW655382 JFR655382:JFS655382 JPN655382:JPO655382 JZJ655382:JZK655382 KJF655382:KJG655382 KTB655382:KTC655382 LCX655382:LCY655382 LMT655382:LMU655382 LWP655382:LWQ655382 MGL655382:MGM655382 MQH655382:MQI655382 NAD655382:NAE655382 NJZ655382:NKA655382 NTV655382:NTW655382 ODR655382:ODS655382 ONN655382:ONO655382 OXJ655382:OXK655382 PHF655382:PHG655382 PRB655382:PRC655382 QAX655382:QAY655382 QKT655382:QKU655382 QUP655382:QUQ655382 REL655382:REM655382 ROH655382:ROI655382 RYD655382:RYE655382 SHZ655382:SIA655382 SRV655382:SRW655382 TBR655382:TBS655382 TLN655382:TLO655382 TVJ655382:TVK655382 UFF655382:UFG655382 UPB655382:UPC655382 UYX655382:UYY655382 VIT655382:VIU655382 VSP655382:VSQ655382 WCL655382:WCM655382 WMH655382:WMI655382 WWD655382:WWE655382 V720918:W720918 JR720918:JS720918 TN720918:TO720918 ADJ720918:ADK720918 ANF720918:ANG720918 AXB720918:AXC720918 BGX720918:BGY720918 BQT720918:BQU720918 CAP720918:CAQ720918 CKL720918:CKM720918 CUH720918:CUI720918 DED720918:DEE720918 DNZ720918:DOA720918 DXV720918:DXW720918 EHR720918:EHS720918 ERN720918:ERO720918 FBJ720918:FBK720918 FLF720918:FLG720918 FVB720918:FVC720918 GEX720918:GEY720918 GOT720918:GOU720918 GYP720918:GYQ720918 HIL720918:HIM720918 HSH720918:HSI720918 ICD720918:ICE720918 ILZ720918:IMA720918 IVV720918:IVW720918 JFR720918:JFS720918 JPN720918:JPO720918 JZJ720918:JZK720918 KJF720918:KJG720918 KTB720918:KTC720918 LCX720918:LCY720918 LMT720918:LMU720918 LWP720918:LWQ720918 MGL720918:MGM720918 MQH720918:MQI720918 NAD720918:NAE720918 NJZ720918:NKA720918 NTV720918:NTW720918 ODR720918:ODS720918 ONN720918:ONO720918 OXJ720918:OXK720918 PHF720918:PHG720918 PRB720918:PRC720918 QAX720918:QAY720918 QKT720918:QKU720918 QUP720918:QUQ720918 REL720918:REM720918 ROH720918:ROI720918 RYD720918:RYE720918 SHZ720918:SIA720918 SRV720918:SRW720918 TBR720918:TBS720918 TLN720918:TLO720918 TVJ720918:TVK720918 UFF720918:UFG720918 UPB720918:UPC720918 UYX720918:UYY720918 VIT720918:VIU720918 VSP720918:VSQ720918 WCL720918:WCM720918 WMH720918:WMI720918 WWD720918:WWE720918 V786454:W786454 JR786454:JS786454 TN786454:TO786454 ADJ786454:ADK786454 ANF786454:ANG786454 AXB786454:AXC786454 BGX786454:BGY786454 BQT786454:BQU786454 CAP786454:CAQ786454 CKL786454:CKM786454 CUH786454:CUI786454 DED786454:DEE786454 DNZ786454:DOA786454 DXV786454:DXW786454 EHR786454:EHS786454 ERN786454:ERO786454 FBJ786454:FBK786454 FLF786454:FLG786454 FVB786454:FVC786454 GEX786454:GEY786454 GOT786454:GOU786454 GYP786454:GYQ786454 HIL786454:HIM786454 HSH786454:HSI786454 ICD786454:ICE786454 ILZ786454:IMA786454 IVV786454:IVW786454 JFR786454:JFS786454 JPN786454:JPO786454 JZJ786454:JZK786454 KJF786454:KJG786454 KTB786454:KTC786454 LCX786454:LCY786454 LMT786454:LMU786454 LWP786454:LWQ786454 MGL786454:MGM786454 MQH786454:MQI786454 NAD786454:NAE786454 NJZ786454:NKA786454 NTV786454:NTW786454 ODR786454:ODS786454 ONN786454:ONO786454 OXJ786454:OXK786454 PHF786454:PHG786454 PRB786454:PRC786454 QAX786454:QAY786454 QKT786454:QKU786454 QUP786454:QUQ786454 REL786454:REM786454 ROH786454:ROI786454 RYD786454:RYE786454 SHZ786454:SIA786454 SRV786454:SRW786454 TBR786454:TBS786454 TLN786454:TLO786454 TVJ786454:TVK786454 UFF786454:UFG786454 UPB786454:UPC786454 UYX786454:UYY786454 VIT786454:VIU786454 VSP786454:VSQ786454 WCL786454:WCM786454 WMH786454:WMI786454 WWD786454:WWE786454 V851990:W851990 JR851990:JS851990 TN851990:TO851990 ADJ851990:ADK851990 ANF851990:ANG851990 AXB851990:AXC851990 BGX851990:BGY851990 BQT851990:BQU851990 CAP851990:CAQ851990 CKL851990:CKM851990 CUH851990:CUI851990 DED851990:DEE851990 DNZ851990:DOA851990 DXV851990:DXW851990 EHR851990:EHS851990 ERN851990:ERO851990 FBJ851990:FBK851990 FLF851990:FLG851990 FVB851990:FVC851990 GEX851990:GEY851990 GOT851990:GOU851990 GYP851990:GYQ851990 HIL851990:HIM851990 HSH851990:HSI851990 ICD851990:ICE851990 ILZ851990:IMA851990 IVV851990:IVW851990 JFR851990:JFS851990 JPN851990:JPO851990 JZJ851990:JZK851990 KJF851990:KJG851990 KTB851990:KTC851990 LCX851990:LCY851990 LMT851990:LMU851990 LWP851990:LWQ851990 MGL851990:MGM851990 MQH851990:MQI851990 NAD851990:NAE851990 NJZ851990:NKA851990 NTV851990:NTW851990 ODR851990:ODS851990 ONN851990:ONO851990 OXJ851990:OXK851990 PHF851990:PHG851990 PRB851990:PRC851990 QAX851990:QAY851990 QKT851990:QKU851990 QUP851990:QUQ851990 REL851990:REM851990 ROH851990:ROI851990 RYD851990:RYE851990 SHZ851990:SIA851990 SRV851990:SRW851990 TBR851990:TBS851990 TLN851990:TLO851990 TVJ851990:TVK851990 UFF851990:UFG851990 UPB851990:UPC851990 UYX851990:UYY851990 VIT851990:VIU851990 VSP851990:VSQ851990 WCL851990:WCM851990 WMH851990:WMI851990 WWD851990:WWE851990 V917526:W917526 JR917526:JS917526 TN917526:TO917526 ADJ917526:ADK917526 ANF917526:ANG917526 AXB917526:AXC917526 BGX917526:BGY917526 BQT917526:BQU917526 CAP917526:CAQ917526 CKL917526:CKM917526 CUH917526:CUI917526 DED917526:DEE917526 DNZ917526:DOA917526 DXV917526:DXW917526 EHR917526:EHS917526 ERN917526:ERO917526 FBJ917526:FBK917526 FLF917526:FLG917526 FVB917526:FVC917526 GEX917526:GEY917526 GOT917526:GOU917526 GYP917526:GYQ917526 HIL917526:HIM917526 HSH917526:HSI917526 ICD917526:ICE917526 ILZ917526:IMA917526 IVV917526:IVW917526 JFR917526:JFS917526 JPN917526:JPO917526 JZJ917526:JZK917526 KJF917526:KJG917526 KTB917526:KTC917526 LCX917526:LCY917526 LMT917526:LMU917526 LWP917526:LWQ917526 MGL917526:MGM917526 MQH917526:MQI917526 NAD917526:NAE917526 NJZ917526:NKA917526 NTV917526:NTW917526 ODR917526:ODS917526 ONN917526:ONO917526 OXJ917526:OXK917526 PHF917526:PHG917526 PRB917526:PRC917526 QAX917526:QAY917526 QKT917526:QKU917526 QUP917526:QUQ917526 REL917526:REM917526 ROH917526:ROI917526 RYD917526:RYE917526 SHZ917526:SIA917526 SRV917526:SRW917526 TBR917526:TBS917526 TLN917526:TLO917526 TVJ917526:TVK917526 UFF917526:UFG917526 UPB917526:UPC917526 UYX917526:UYY917526 VIT917526:VIU917526 VSP917526:VSQ917526 WCL917526:WCM917526 WMH917526:WMI917526 WWD917526:WWE917526 V983062:W983062 JR983062:JS983062 TN983062:TO983062 ADJ983062:ADK983062 ANF983062:ANG983062 AXB983062:AXC983062 BGX983062:BGY983062 BQT983062:BQU983062 CAP983062:CAQ983062 CKL983062:CKM983062 CUH983062:CUI983062 DED983062:DEE983062 DNZ983062:DOA983062 DXV983062:DXW983062 EHR983062:EHS983062 ERN983062:ERO983062 FBJ983062:FBK983062 FLF983062:FLG983062 FVB983062:FVC983062 GEX983062:GEY983062 GOT983062:GOU983062 GYP983062:GYQ983062 HIL983062:HIM983062 HSH983062:HSI983062 ICD983062:ICE983062 ILZ983062:IMA983062 IVV983062:IVW983062 JFR983062:JFS983062 JPN983062:JPO983062 JZJ983062:JZK983062 KJF983062:KJG983062 KTB983062:KTC983062 LCX983062:LCY983062 LMT983062:LMU983062 LWP983062:LWQ983062 MGL983062:MGM983062 MQH983062:MQI983062 NAD983062:NAE983062 NJZ983062:NKA983062 NTV983062:NTW983062 ODR983062:ODS983062 ONN983062:ONO983062 OXJ983062:OXK983062 PHF983062:PHG983062 PRB983062:PRC983062 QAX983062:QAY983062 QKT983062:QKU983062 QUP983062:QUQ983062 REL983062:REM983062 ROH983062:ROI983062 RYD983062:RYE983062 SHZ983062:SIA983062 SRV983062:SRW983062 TBR983062:TBS983062 TLN983062:TLO983062 TVJ983062:TVK983062 UFF983062:UFG983062 UPB983062:UPC983062 UYX983062:UYY983062 VIT983062:VIU983062 VSP983062:VSQ983062 WCL983062:WCM983062 WMH983062:WMI983062 WWD983062:WWE983062 R22:S22 JN22:JO22 TJ22:TK22 ADF22:ADG22 ANB22:ANC22 AWX22:AWY22 BGT22:BGU22 BQP22:BQQ22 CAL22:CAM22 CKH22:CKI22 CUD22:CUE22 DDZ22:DEA22 DNV22:DNW22 DXR22:DXS22 EHN22:EHO22 ERJ22:ERK22 FBF22:FBG22 FLB22:FLC22 FUX22:FUY22 GET22:GEU22 GOP22:GOQ22 GYL22:GYM22 HIH22:HII22 HSD22:HSE22 IBZ22:ICA22 ILV22:ILW22 IVR22:IVS22 JFN22:JFO22 JPJ22:JPK22 JZF22:JZG22 KJB22:KJC22 KSX22:KSY22 LCT22:LCU22 LMP22:LMQ22 LWL22:LWM22 MGH22:MGI22 MQD22:MQE22 MZZ22:NAA22 NJV22:NJW22 NTR22:NTS22 ODN22:ODO22 ONJ22:ONK22 OXF22:OXG22 PHB22:PHC22 PQX22:PQY22 QAT22:QAU22 QKP22:QKQ22 QUL22:QUM22 REH22:REI22 ROD22:ROE22 RXZ22:RYA22 SHV22:SHW22 SRR22:SRS22 TBN22:TBO22 TLJ22:TLK22 TVF22:TVG22 UFB22:UFC22 UOX22:UOY22 UYT22:UYU22 VIP22:VIQ22 VSL22:VSM22 WCH22:WCI22 WMD22:WME22 WVZ22:WWA22 R65558:S65558 JN65558:JO65558 TJ65558:TK65558 ADF65558:ADG65558 ANB65558:ANC65558 AWX65558:AWY65558 BGT65558:BGU65558 BQP65558:BQQ65558 CAL65558:CAM65558 CKH65558:CKI65558 CUD65558:CUE65558 DDZ65558:DEA65558 DNV65558:DNW65558 DXR65558:DXS65558 EHN65558:EHO65558 ERJ65558:ERK65558 FBF65558:FBG65558 FLB65558:FLC65558 FUX65558:FUY65558 GET65558:GEU65558 GOP65558:GOQ65558 GYL65558:GYM65558 HIH65558:HII65558 HSD65558:HSE65558 IBZ65558:ICA65558 ILV65558:ILW65558 IVR65558:IVS65558 JFN65558:JFO65558 JPJ65558:JPK65558 JZF65558:JZG65558 KJB65558:KJC65558 KSX65558:KSY65558 LCT65558:LCU65558 LMP65558:LMQ65558 LWL65558:LWM65558 MGH65558:MGI65558 MQD65558:MQE65558 MZZ65558:NAA65558 NJV65558:NJW65558 NTR65558:NTS65558 ODN65558:ODO65558 ONJ65558:ONK65558 OXF65558:OXG65558 PHB65558:PHC65558 PQX65558:PQY65558 QAT65558:QAU65558 QKP65558:QKQ65558 QUL65558:QUM65558 REH65558:REI65558 ROD65558:ROE65558 RXZ65558:RYA65558 SHV65558:SHW65558 SRR65558:SRS65558 TBN65558:TBO65558 TLJ65558:TLK65558 TVF65558:TVG65558 UFB65558:UFC65558 UOX65558:UOY65558 UYT65558:UYU65558 VIP65558:VIQ65558 VSL65558:VSM65558 WCH65558:WCI65558 WMD65558:WME65558 WVZ65558:WWA65558 R131094:S131094 JN131094:JO131094 TJ131094:TK131094 ADF131094:ADG131094 ANB131094:ANC131094 AWX131094:AWY131094 BGT131094:BGU131094 BQP131094:BQQ131094 CAL131094:CAM131094 CKH131094:CKI131094 CUD131094:CUE131094 DDZ131094:DEA131094 DNV131094:DNW131094 DXR131094:DXS131094 EHN131094:EHO131094 ERJ131094:ERK131094 FBF131094:FBG131094 FLB131094:FLC131094 FUX131094:FUY131094 GET131094:GEU131094 GOP131094:GOQ131094 GYL131094:GYM131094 HIH131094:HII131094 HSD131094:HSE131094 IBZ131094:ICA131094 ILV131094:ILW131094 IVR131094:IVS131094 JFN131094:JFO131094 JPJ131094:JPK131094 JZF131094:JZG131094 KJB131094:KJC131094 KSX131094:KSY131094 LCT131094:LCU131094 LMP131094:LMQ131094 LWL131094:LWM131094 MGH131094:MGI131094 MQD131094:MQE131094 MZZ131094:NAA131094 NJV131094:NJW131094 NTR131094:NTS131094 ODN131094:ODO131094 ONJ131094:ONK131094 OXF131094:OXG131094 PHB131094:PHC131094 PQX131094:PQY131094 QAT131094:QAU131094 QKP131094:QKQ131094 QUL131094:QUM131094 REH131094:REI131094 ROD131094:ROE131094 RXZ131094:RYA131094 SHV131094:SHW131094 SRR131094:SRS131094 TBN131094:TBO131094 TLJ131094:TLK131094 TVF131094:TVG131094 UFB131094:UFC131094 UOX131094:UOY131094 UYT131094:UYU131094 VIP131094:VIQ131094 VSL131094:VSM131094 WCH131094:WCI131094 WMD131094:WME131094 WVZ131094:WWA131094 R196630:S196630 JN196630:JO196630 TJ196630:TK196630 ADF196630:ADG196630 ANB196630:ANC196630 AWX196630:AWY196630 BGT196630:BGU196630 BQP196630:BQQ196630 CAL196630:CAM196630 CKH196630:CKI196630 CUD196630:CUE196630 DDZ196630:DEA196630 DNV196630:DNW196630 DXR196630:DXS196630 EHN196630:EHO196630 ERJ196630:ERK196630 FBF196630:FBG196630 FLB196630:FLC196630 FUX196630:FUY196630 GET196630:GEU196630 GOP196630:GOQ196630 GYL196630:GYM196630 HIH196630:HII196630 HSD196630:HSE196630 IBZ196630:ICA196630 ILV196630:ILW196630 IVR196630:IVS196630 JFN196630:JFO196630 JPJ196630:JPK196630 JZF196630:JZG196630 KJB196630:KJC196630 KSX196630:KSY196630 LCT196630:LCU196630 LMP196630:LMQ196630 LWL196630:LWM196630 MGH196630:MGI196630 MQD196630:MQE196630 MZZ196630:NAA196630 NJV196630:NJW196630 NTR196630:NTS196630 ODN196630:ODO196630 ONJ196630:ONK196630 OXF196630:OXG196630 PHB196630:PHC196630 PQX196630:PQY196630 QAT196630:QAU196630 QKP196630:QKQ196630 QUL196630:QUM196630 REH196630:REI196630 ROD196630:ROE196630 RXZ196630:RYA196630 SHV196630:SHW196630 SRR196630:SRS196630 TBN196630:TBO196630 TLJ196630:TLK196630 TVF196630:TVG196630 UFB196630:UFC196630 UOX196630:UOY196630 UYT196630:UYU196630 VIP196630:VIQ196630 VSL196630:VSM196630 WCH196630:WCI196630 WMD196630:WME196630 WVZ196630:WWA196630 R262166:S262166 JN262166:JO262166 TJ262166:TK262166 ADF262166:ADG262166 ANB262166:ANC262166 AWX262166:AWY262166 BGT262166:BGU262166 BQP262166:BQQ262166 CAL262166:CAM262166 CKH262166:CKI262166 CUD262166:CUE262166 DDZ262166:DEA262166 DNV262166:DNW262166 DXR262166:DXS262166 EHN262166:EHO262166 ERJ262166:ERK262166 FBF262166:FBG262166 FLB262166:FLC262166 FUX262166:FUY262166 GET262166:GEU262166 GOP262166:GOQ262166 GYL262166:GYM262166 HIH262166:HII262166 HSD262166:HSE262166 IBZ262166:ICA262166 ILV262166:ILW262166 IVR262166:IVS262166 JFN262166:JFO262166 JPJ262166:JPK262166 JZF262166:JZG262166 KJB262166:KJC262166 KSX262166:KSY262166 LCT262166:LCU262166 LMP262166:LMQ262166 LWL262166:LWM262166 MGH262166:MGI262166 MQD262166:MQE262166 MZZ262166:NAA262166 NJV262166:NJW262166 NTR262166:NTS262166 ODN262166:ODO262166 ONJ262166:ONK262166 OXF262166:OXG262166 PHB262166:PHC262166 PQX262166:PQY262166 QAT262166:QAU262166 QKP262166:QKQ262166 QUL262166:QUM262166 REH262166:REI262166 ROD262166:ROE262166 RXZ262166:RYA262166 SHV262166:SHW262166 SRR262166:SRS262166 TBN262166:TBO262166 TLJ262166:TLK262166 TVF262166:TVG262166 UFB262166:UFC262166 UOX262166:UOY262166 UYT262166:UYU262166 VIP262166:VIQ262166 VSL262166:VSM262166 WCH262166:WCI262166 WMD262166:WME262166 WVZ262166:WWA262166 R327702:S327702 JN327702:JO327702 TJ327702:TK327702 ADF327702:ADG327702 ANB327702:ANC327702 AWX327702:AWY327702 BGT327702:BGU327702 BQP327702:BQQ327702 CAL327702:CAM327702 CKH327702:CKI327702 CUD327702:CUE327702 DDZ327702:DEA327702 DNV327702:DNW327702 DXR327702:DXS327702 EHN327702:EHO327702 ERJ327702:ERK327702 FBF327702:FBG327702 FLB327702:FLC327702 FUX327702:FUY327702 GET327702:GEU327702 GOP327702:GOQ327702 GYL327702:GYM327702 HIH327702:HII327702 HSD327702:HSE327702 IBZ327702:ICA327702 ILV327702:ILW327702 IVR327702:IVS327702 JFN327702:JFO327702 JPJ327702:JPK327702 JZF327702:JZG327702 KJB327702:KJC327702 KSX327702:KSY327702 LCT327702:LCU327702 LMP327702:LMQ327702 LWL327702:LWM327702 MGH327702:MGI327702 MQD327702:MQE327702 MZZ327702:NAA327702 NJV327702:NJW327702 NTR327702:NTS327702 ODN327702:ODO327702 ONJ327702:ONK327702 OXF327702:OXG327702 PHB327702:PHC327702 PQX327702:PQY327702 QAT327702:QAU327702 QKP327702:QKQ327702 QUL327702:QUM327702 REH327702:REI327702 ROD327702:ROE327702 RXZ327702:RYA327702 SHV327702:SHW327702 SRR327702:SRS327702 TBN327702:TBO327702 TLJ327702:TLK327702 TVF327702:TVG327702 UFB327702:UFC327702 UOX327702:UOY327702 UYT327702:UYU327702 VIP327702:VIQ327702 VSL327702:VSM327702 WCH327702:WCI327702 WMD327702:WME327702 WVZ327702:WWA327702 R393238:S393238 JN393238:JO393238 TJ393238:TK393238 ADF393238:ADG393238 ANB393238:ANC393238 AWX393238:AWY393238 BGT393238:BGU393238 BQP393238:BQQ393238 CAL393238:CAM393238 CKH393238:CKI393238 CUD393238:CUE393238 DDZ393238:DEA393238 DNV393238:DNW393238 DXR393238:DXS393238 EHN393238:EHO393238 ERJ393238:ERK393238 FBF393238:FBG393238 FLB393238:FLC393238 FUX393238:FUY393238 GET393238:GEU393238 GOP393238:GOQ393238 GYL393238:GYM393238 HIH393238:HII393238 HSD393238:HSE393238 IBZ393238:ICA393238 ILV393238:ILW393238 IVR393238:IVS393238 JFN393238:JFO393238 JPJ393238:JPK393238 JZF393238:JZG393238 KJB393238:KJC393238 KSX393238:KSY393238 LCT393238:LCU393238 LMP393238:LMQ393238 LWL393238:LWM393238 MGH393238:MGI393238 MQD393238:MQE393238 MZZ393238:NAA393238 NJV393238:NJW393238 NTR393238:NTS393238 ODN393238:ODO393238 ONJ393238:ONK393238 OXF393238:OXG393238 PHB393238:PHC393238 PQX393238:PQY393238 QAT393238:QAU393238 QKP393238:QKQ393238 QUL393238:QUM393238 REH393238:REI393238 ROD393238:ROE393238 RXZ393238:RYA393238 SHV393238:SHW393238 SRR393238:SRS393238 TBN393238:TBO393238 TLJ393238:TLK393238 TVF393238:TVG393238 UFB393238:UFC393238 UOX393238:UOY393238 UYT393238:UYU393238 VIP393238:VIQ393238 VSL393238:VSM393238 WCH393238:WCI393238 WMD393238:WME393238 WVZ393238:WWA393238 R458774:S458774 JN458774:JO458774 TJ458774:TK458774 ADF458774:ADG458774 ANB458774:ANC458774 AWX458774:AWY458774 BGT458774:BGU458774 BQP458774:BQQ458774 CAL458774:CAM458774 CKH458774:CKI458774 CUD458774:CUE458774 DDZ458774:DEA458774 DNV458774:DNW458774 DXR458774:DXS458774 EHN458774:EHO458774 ERJ458774:ERK458774 FBF458774:FBG458774 FLB458774:FLC458774 FUX458774:FUY458774 GET458774:GEU458774 GOP458774:GOQ458774 GYL458774:GYM458774 HIH458774:HII458774 HSD458774:HSE458774 IBZ458774:ICA458774 ILV458774:ILW458774 IVR458774:IVS458774 JFN458774:JFO458774 JPJ458774:JPK458774 JZF458774:JZG458774 KJB458774:KJC458774 KSX458774:KSY458774 LCT458774:LCU458774 LMP458774:LMQ458774 LWL458774:LWM458774 MGH458774:MGI458774 MQD458774:MQE458774 MZZ458774:NAA458774 NJV458774:NJW458774 NTR458774:NTS458774 ODN458774:ODO458774 ONJ458774:ONK458774 OXF458774:OXG458774 PHB458774:PHC458774 PQX458774:PQY458774 QAT458774:QAU458774 QKP458774:QKQ458774 QUL458774:QUM458774 REH458774:REI458774 ROD458774:ROE458774 RXZ458774:RYA458774 SHV458774:SHW458774 SRR458774:SRS458774 TBN458774:TBO458774 TLJ458774:TLK458774 TVF458774:TVG458774 UFB458774:UFC458774 UOX458774:UOY458774 UYT458774:UYU458774 VIP458774:VIQ458774 VSL458774:VSM458774 WCH458774:WCI458774 WMD458774:WME458774 WVZ458774:WWA458774 R524310:S524310 JN524310:JO524310 TJ524310:TK524310 ADF524310:ADG524310 ANB524310:ANC524310 AWX524310:AWY524310 BGT524310:BGU524310 BQP524310:BQQ524310 CAL524310:CAM524310 CKH524310:CKI524310 CUD524310:CUE524310 DDZ524310:DEA524310 DNV524310:DNW524310 DXR524310:DXS524310 EHN524310:EHO524310 ERJ524310:ERK524310 FBF524310:FBG524310 FLB524310:FLC524310 FUX524310:FUY524310 GET524310:GEU524310 GOP524310:GOQ524310 GYL524310:GYM524310 HIH524310:HII524310 HSD524310:HSE524310 IBZ524310:ICA524310 ILV524310:ILW524310 IVR524310:IVS524310 JFN524310:JFO524310 JPJ524310:JPK524310 JZF524310:JZG524310 KJB524310:KJC524310 KSX524310:KSY524310 LCT524310:LCU524310 LMP524310:LMQ524310 LWL524310:LWM524310 MGH524310:MGI524310 MQD524310:MQE524310 MZZ524310:NAA524310 NJV524310:NJW524310 NTR524310:NTS524310 ODN524310:ODO524310 ONJ524310:ONK524310 OXF524310:OXG524310 PHB524310:PHC524310 PQX524310:PQY524310 QAT524310:QAU524310 QKP524310:QKQ524310 QUL524310:QUM524310 REH524310:REI524310 ROD524310:ROE524310 RXZ524310:RYA524310 SHV524310:SHW524310 SRR524310:SRS524310 TBN524310:TBO524310 TLJ524310:TLK524310 TVF524310:TVG524310 UFB524310:UFC524310 UOX524310:UOY524310 UYT524310:UYU524310 VIP524310:VIQ524310 VSL524310:VSM524310 WCH524310:WCI524310 WMD524310:WME524310 WVZ524310:WWA524310 R589846:S589846 JN589846:JO589846 TJ589846:TK589846 ADF589846:ADG589846 ANB589846:ANC589846 AWX589846:AWY589846 BGT589846:BGU589846 BQP589846:BQQ589846 CAL589846:CAM589846 CKH589846:CKI589846 CUD589846:CUE589846 DDZ589846:DEA589846 DNV589846:DNW589846 DXR589846:DXS589846 EHN589846:EHO589846 ERJ589846:ERK589846 FBF589846:FBG589846 FLB589846:FLC589846 FUX589846:FUY589846 GET589846:GEU589846 GOP589846:GOQ589846 GYL589846:GYM589846 HIH589846:HII589846 HSD589846:HSE589846 IBZ589846:ICA589846 ILV589846:ILW589846 IVR589846:IVS589846 JFN589846:JFO589846 JPJ589846:JPK589846 JZF589846:JZG589846 KJB589846:KJC589846 KSX589846:KSY589846 LCT589846:LCU589846 LMP589846:LMQ589846 LWL589846:LWM589846 MGH589846:MGI589846 MQD589846:MQE589846 MZZ589846:NAA589846 NJV589846:NJW589846 NTR589846:NTS589846 ODN589846:ODO589846 ONJ589846:ONK589846 OXF589846:OXG589846 PHB589846:PHC589846 PQX589846:PQY589846 QAT589846:QAU589846 QKP589846:QKQ589846 QUL589846:QUM589846 REH589846:REI589846 ROD589846:ROE589846 RXZ589846:RYA589846 SHV589846:SHW589846 SRR589846:SRS589846 TBN589846:TBO589846 TLJ589846:TLK589846 TVF589846:TVG589846 UFB589846:UFC589846 UOX589846:UOY589846 UYT589846:UYU589846 VIP589846:VIQ589846 VSL589846:VSM589846 WCH589846:WCI589846 WMD589846:WME589846 WVZ589846:WWA589846 R655382:S655382 JN655382:JO655382 TJ655382:TK655382 ADF655382:ADG655382 ANB655382:ANC655382 AWX655382:AWY655382 BGT655382:BGU655382 BQP655382:BQQ655382 CAL655382:CAM655382 CKH655382:CKI655382 CUD655382:CUE655382 DDZ655382:DEA655382 DNV655382:DNW655382 DXR655382:DXS655382 EHN655382:EHO655382 ERJ655382:ERK655382 FBF655382:FBG655382 FLB655382:FLC655382 FUX655382:FUY655382 GET655382:GEU655382 GOP655382:GOQ655382 GYL655382:GYM655382 HIH655382:HII655382 HSD655382:HSE655382 IBZ655382:ICA655382 ILV655382:ILW655382 IVR655382:IVS655382 JFN655382:JFO655382 JPJ655382:JPK655382 JZF655382:JZG655382 KJB655382:KJC655382 KSX655382:KSY655382 LCT655382:LCU655382 LMP655382:LMQ655382 LWL655382:LWM655382 MGH655382:MGI655382 MQD655382:MQE655382 MZZ655382:NAA655382 NJV655382:NJW655382 NTR655382:NTS655382 ODN655382:ODO655382 ONJ655382:ONK655382 OXF655382:OXG655382 PHB655382:PHC655382 PQX655382:PQY655382 QAT655382:QAU655382 QKP655382:QKQ655382 QUL655382:QUM655382 REH655382:REI655382 ROD655382:ROE655382 RXZ655382:RYA655382 SHV655382:SHW655382 SRR655382:SRS655382 TBN655382:TBO655382 TLJ655382:TLK655382 TVF655382:TVG655382 UFB655382:UFC655382 UOX655382:UOY655382 UYT655382:UYU655382 VIP655382:VIQ655382 VSL655382:VSM655382 WCH655382:WCI655382 WMD655382:WME655382 WVZ655382:WWA655382 R720918:S720918 JN720918:JO720918 TJ720918:TK720918 ADF720918:ADG720918 ANB720918:ANC720918 AWX720918:AWY720918 BGT720918:BGU720918 BQP720918:BQQ720918 CAL720918:CAM720918 CKH720918:CKI720918 CUD720918:CUE720918 DDZ720918:DEA720918 DNV720918:DNW720918 DXR720918:DXS720918 EHN720918:EHO720918 ERJ720918:ERK720918 FBF720918:FBG720918 FLB720918:FLC720918 FUX720918:FUY720918 GET720918:GEU720918 GOP720918:GOQ720918 GYL720918:GYM720918 HIH720918:HII720918 HSD720918:HSE720918 IBZ720918:ICA720918 ILV720918:ILW720918 IVR720918:IVS720918 JFN720918:JFO720918 JPJ720918:JPK720918 JZF720918:JZG720918 KJB720918:KJC720918 KSX720918:KSY720918 LCT720918:LCU720918 LMP720918:LMQ720918 LWL720918:LWM720918 MGH720918:MGI720918 MQD720918:MQE720918 MZZ720918:NAA720918 NJV720918:NJW720918 NTR720918:NTS720918 ODN720918:ODO720918 ONJ720918:ONK720918 OXF720918:OXG720918 PHB720918:PHC720918 PQX720918:PQY720918 QAT720918:QAU720918 QKP720918:QKQ720918 QUL720918:QUM720918 REH720918:REI720918 ROD720918:ROE720918 RXZ720918:RYA720918 SHV720918:SHW720918 SRR720918:SRS720918 TBN720918:TBO720918 TLJ720918:TLK720918 TVF720918:TVG720918 UFB720918:UFC720918 UOX720918:UOY720918 UYT720918:UYU720918 VIP720918:VIQ720918 VSL720918:VSM720918 WCH720918:WCI720918 WMD720918:WME720918 WVZ720918:WWA720918 R786454:S786454 JN786454:JO786454 TJ786454:TK786454 ADF786454:ADG786454 ANB786454:ANC786454 AWX786454:AWY786454 BGT786454:BGU786454 BQP786454:BQQ786454 CAL786454:CAM786454 CKH786454:CKI786454 CUD786454:CUE786454 DDZ786454:DEA786454 DNV786454:DNW786454 DXR786454:DXS786454 EHN786454:EHO786454 ERJ786454:ERK786454 FBF786454:FBG786454 FLB786454:FLC786454 FUX786454:FUY786454 GET786454:GEU786454 GOP786454:GOQ786454 GYL786454:GYM786454 HIH786454:HII786454 HSD786454:HSE786454 IBZ786454:ICA786454 ILV786454:ILW786454 IVR786454:IVS786454 JFN786454:JFO786454 JPJ786454:JPK786454 JZF786454:JZG786454 KJB786454:KJC786454 KSX786454:KSY786454 LCT786454:LCU786454 LMP786454:LMQ786454 LWL786454:LWM786454 MGH786454:MGI786454 MQD786454:MQE786454 MZZ786454:NAA786454 NJV786454:NJW786454 NTR786454:NTS786454 ODN786454:ODO786454 ONJ786454:ONK786454 OXF786454:OXG786454 PHB786454:PHC786454 PQX786454:PQY786454 QAT786454:QAU786454 QKP786454:QKQ786454 QUL786454:QUM786454 REH786454:REI786454 ROD786454:ROE786454 RXZ786454:RYA786454 SHV786454:SHW786454 SRR786454:SRS786454 TBN786454:TBO786454 TLJ786454:TLK786454 TVF786454:TVG786454 UFB786454:UFC786454 UOX786454:UOY786454 UYT786454:UYU786454 VIP786454:VIQ786454 VSL786454:VSM786454 WCH786454:WCI786454 WMD786454:WME786454 WVZ786454:WWA786454 R851990:S851990 JN851990:JO851990 TJ851990:TK851990 ADF851990:ADG851990 ANB851990:ANC851990 AWX851990:AWY851990 BGT851990:BGU851990 BQP851990:BQQ851990 CAL851990:CAM851990 CKH851990:CKI851990 CUD851990:CUE851990 DDZ851990:DEA851990 DNV851990:DNW851990 DXR851990:DXS851990 EHN851990:EHO851990 ERJ851990:ERK851990 FBF851990:FBG851990 FLB851990:FLC851990 FUX851990:FUY851990 GET851990:GEU851990 GOP851990:GOQ851990 GYL851990:GYM851990 HIH851990:HII851990 HSD851990:HSE851990 IBZ851990:ICA851990 ILV851990:ILW851990 IVR851990:IVS851990 JFN851990:JFO851990 JPJ851990:JPK851990 JZF851990:JZG851990 KJB851990:KJC851990 KSX851990:KSY851990 LCT851990:LCU851990 LMP851990:LMQ851990 LWL851990:LWM851990 MGH851990:MGI851990 MQD851990:MQE851990 MZZ851990:NAA851990 NJV851990:NJW851990 NTR851990:NTS851990 ODN851990:ODO851990 ONJ851990:ONK851990 OXF851990:OXG851990 PHB851990:PHC851990 PQX851990:PQY851990 QAT851990:QAU851990 QKP851990:QKQ851990 QUL851990:QUM851990 REH851990:REI851990 ROD851990:ROE851990 RXZ851990:RYA851990 SHV851990:SHW851990 SRR851990:SRS851990 TBN851990:TBO851990 TLJ851990:TLK851990 TVF851990:TVG851990 UFB851990:UFC851990 UOX851990:UOY851990 UYT851990:UYU851990 VIP851990:VIQ851990 VSL851990:VSM851990 WCH851990:WCI851990 WMD851990:WME851990 WVZ851990:WWA851990 R917526:S917526 JN917526:JO917526 TJ917526:TK917526 ADF917526:ADG917526 ANB917526:ANC917526 AWX917526:AWY917526 BGT917526:BGU917526 BQP917526:BQQ917526 CAL917526:CAM917526 CKH917526:CKI917526 CUD917526:CUE917526 DDZ917526:DEA917526 DNV917526:DNW917526 DXR917526:DXS917526 EHN917526:EHO917526 ERJ917526:ERK917526 FBF917526:FBG917526 FLB917526:FLC917526 FUX917526:FUY917526 GET917526:GEU917526 GOP917526:GOQ917526 GYL917526:GYM917526 HIH917526:HII917526 HSD917526:HSE917526 IBZ917526:ICA917526 ILV917526:ILW917526 IVR917526:IVS917526 JFN917526:JFO917526 JPJ917526:JPK917526 JZF917526:JZG917526 KJB917526:KJC917526 KSX917526:KSY917526 LCT917526:LCU917526 LMP917526:LMQ917526 LWL917526:LWM917526 MGH917526:MGI917526 MQD917526:MQE917526 MZZ917526:NAA917526 NJV917526:NJW917526 NTR917526:NTS917526 ODN917526:ODO917526 ONJ917526:ONK917526 OXF917526:OXG917526 PHB917526:PHC917526 PQX917526:PQY917526 QAT917526:QAU917526 QKP917526:QKQ917526 QUL917526:QUM917526 REH917526:REI917526 ROD917526:ROE917526 RXZ917526:RYA917526 SHV917526:SHW917526 SRR917526:SRS917526 TBN917526:TBO917526 TLJ917526:TLK917526 TVF917526:TVG917526 UFB917526:UFC917526 UOX917526:UOY917526 UYT917526:UYU917526 VIP917526:VIQ917526 VSL917526:VSM917526 WCH917526:WCI917526 WMD917526:WME917526 WVZ917526:WWA917526 R983062:S983062 JN983062:JO983062 TJ983062:TK983062 ADF983062:ADG983062 ANB983062:ANC983062 AWX983062:AWY983062 BGT983062:BGU983062 BQP983062:BQQ983062 CAL983062:CAM983062 CKH983062:CKI983062 CUD983062:CUE983062 DDZ983062:DEA983062 DNV983062:DNW983062 DXR983062:DXS983062 EHN983062:EHO983062 ERJ983062:ERK983062 FBF983062:FBG983062 FLB983062:FLC983062 FUX983062:FUY983062 GET983062:GEU983062 GOP983062:GOQ983062 GYL983062:GYM983062 HIH983062:HII983062 HSD983062:HSE983062 IBZ983062:ICA983062 ILV983062:ILW983062 IVR983062:IVS983062 JFN983062:JFO983062 JPJ983062:JPK983062 JZF983062:JZG983062 KJB983062:KJC983062 KSX983062:KSY983062 LCT983062:LCU983062 LMP983062:LMQ983062 LWL983062:LWM983062 MGH983062:MGI983062 MQD983062:MQE983062 MZZ983062:NAA983062 NJV983062:NJW983062 NTR983062:NTS983062 ODN983062:ODO983062 ONJ983062:ONK983062 OXF983062:OXG983062 PHB983062:PHC983062 PQX983062:PQY983062 QAT983062:QAU983062 QKP983062:QKQ983062 QUL983062:QUM983062 REH983062:REI983062 ROD983062:ROE983062 RXZ983062:RYA983062 SHV983062:SHW983062 SRR983062:SRS983062 TBN983062:TBO983062 TLJ983062:TLK983062 TVF983062:TVG983062 UFB983062:UFC983062 UOX983062:UOY983062 UYT983062:UYU983062 VIP983062:VIQ983062 VSL983062:VSM983062 WCH983062:WCI983062 WMD983062:WME983062 WVZ983062:WWA983062 I51 JE51 TA51 ACW51 AMS51 AWO51 BGK51 BQG51 CAC51 CJY51 CTU51 DDQ51 DNM51 DXI51 EHE51 ERA51 FAW51 FKS51 FUO51 GEK51 GOG51 GYC51 HHY51 HRU51 IBQ51 ILM51 IVI51 JFE51 JPA51 JYW51 KIS51 KSO51 LCK51 LMG51 LWC51 MFY51 MPU51 MZQ51 NJM51 NTI51 ODE51 ONA51 OWW51 PGS51 PQO51 QAK51 QKG51 QUC51 RDY51 RNU51 RXQ51 SHM51 SRI51 TBE51 TLA51 TUW51 UES51 UOO51 UYK51 VIG51 VSC51 WBY51 WLU51 WVQ51 I65587 JE65587 TA65587 ACW65587 AMS65587 AWO65587 BGK65587 BQG65587 CAC65587 CJY65587 CTU65587 DDQ65587 DNM65587 DXI65587 EHE65587 ERA65587 FAW65587 FKS65587 FUO65587 GEK65587 GOG65587 GYC65587 HHY65587 HRU65587 IBQ65587 ILM65587 IVI65587 JFE65587 JPA65587 JYW65587 KIS65587 KSO65587 LCK65587 LMG65587 LWC65587 MFY65587 MPU65587 MZQ65587 NJM65587 NTI65587 ODE65587 ONA65587 OWW65587 PGS65587 PQO65587 QAK65587 QKG65587 QUC65587 RDY65587 RNU65587 RXQ65587 SHM65587 SRI65587 TBE65587 TLA65587 TUW65587 UES65587 UOO65587 UYK65587 VIG65587 VSC65587 WBY65587 WLU65587 WVQ65587 I131123 JE131123 TA131123 ACW131123 AMS131123 AWO131123 BGK131123 BQG131123 CAC131123 CJY131123 CTU131123 DDQ131123 DNM131123 DXI131123 EHE131123 ERA131123 FAW131123 FKS131123 FUO131123 GEK131123 GOG131123 GYC131123 HHY131123 HRU131123 IBQ131123 ILM131123 IVI131123 JFE131123 JPA131123 JYW131123 KIS131123 KSO131123 LCK131123 LMG131123 LWC131123 MFY131123 MPU131123 MZQ131123 NJM131123 NTI131123 ODE131123 ONA131123 OWW131123 PGS131123 PQO131123 QAK131123 QKG131123 QUC131123 RDY131123 RNU131123 RXQ131123 SHM131123 SRI131123 TBE131123 TLA131123 TUW131123 UES131123 UOO131123 UYK131123 VIG131123 VSC131123 WBY131123 WLU131123 WVQ131123 I196659 JE196659 TA196659 ACW196659 AMS196659 AWO196659 BGK196659 BQG196659 CAC196659 CJY196659 CTU196659 DDQ196659 DNM196659 DXI196659 EHE196659 ERA196659 FAW196659 FKS196659 FUO196659 GEK196659 GOG196659 GYC196659 HHY196659 HRU196659 IBQ196659 ILM196659 IVI196659 JFE196659 JPA196659 JYW196659 KIS196659 KSO196659 LCK196659 LMG196659 LWC196659 MFY196659 MPU196659 MZQ196659 NJM196659 NTI196659 ODE196659 ONA196659 OWW196659 PGS196659 PQO196659 QAK196659 QKG196659 QUC196659 RDY196659 RNU196659 RXQ196659 SHM196659 SRI196659 TBE196659 TLA196659 TUW196659 UES196659 UOO196659 UYK196659 VIG196659 VSC196659 WBY196659 WLU196659 WVQ196659 I262195 JE262195 TA262195 ACW262195 AMS262195 AWO262195 BGK262195 BQG262195 CAC262195 CJY262195 CTU262195 DDQ262195 DNM262195 DXI262195 EHE262195 ERA262195 FAW262195 FKS262195 FUO262195 GEK262195 GOG262195 GYC262195 HHY262195 HRU262195 IBQ262195 ILM262195 IVI262195 JFE262195 JPA262195 JYW262195 KIS262195 KSO262195 LCK262195 LMG262195 LWC262195 MFY262195 MPU262195 MZQ262195 NJM262195 NTI262195 ODE262195 ONA262195 OWW262195 PGS262195 PQO262195 QAK262195 QKG262195 QUC262195 RDY262195 RNU262195 RXQ262195 SHM262195 SRI262195 TBE262195 TLA262195 TUW262195 UES262195 UOO262195 UYK262195 VIG262195 VSC262195 WBY262195 WLU262195 WVQ262195 I327731 JE327731 TA327731 ACW327731 AMS327731 AWO327731 BGK327731 BQG327731 CAC327731 CJY327731 CTU327731 DDQ327731 DNM327731 DXI327731 EHE327731 ERA327731 FAW327731 FKS327731 FUO327731 GEK327731 GOG327731 GYC327731 HHY327731 HRU327731 IBQ327731 ILM327731 IVI327731 JFE327731 JPA327731 JYW327731 KIS327731 KSO327731 LCK327731 LMG327731 LWC327731 MFY327731 MPU327731 MZQ327731 NJM327731 NTI327731 ODE327731 ONA327731 OWW327731 PGS327731 PQO327731 QAK327731 QKG327731 QUC327731 RDY327731 RNU327731 RXQ327731 SHM327731 SRI327731 TBE327731 TLA327731 TUW327731 UES327731 UOO327731 UYK327731 VIG327731 VSC327731 WBY327731 WLU327731 WVQ327731 I393267 JE393267 TA393267 ACW393267 AMS393267 AWO393267 BGK393267 BQG393267 CAC393267 CJY393267 CTU393267 DDQ393267 DNM393267 DXI393267 EHE393267 ERA393267 FAW393267 FKS393267 FUO393267 GEK393267 GOG393267 GYC393267 HHY393267 HRU393267 IBQ393267 ILM393267 IVI393267 JFE393267 JPA393267 JYW393267 KIS393267 KSO393267 LCK393267 LMG393267 LWC393267 MFY393267 MPU393267 MZQ393267 NJM393267 NTI393267 ODE393267 ONA393267 OWW393267 PGS393267 PQO393267 QAK393267 QKG393267 QUC393267 RDY393267 RNU393267 RXQ393267 SHM393267 SRI393267 TBE393267 TLA393267 TUW393267 UES393267 UOO393267 UYK393267 VIG393267 VSC393267 WBY393267 WLU393267 WVQ393267 I458803 JE458803 TA458803 ACW458803 AMS458803 AWO458803 BGK458803 BQG458803 CAC458803 CJY458803 CTU458803 DDQ458803 DNM458803 DXI458803 EHE458803 ERA458803 FAW458803 FKS458803 FUO458803 GEK458803 GOG458803 GYC458803 HHY458803 HRU458803 IBQ458803 ILM458803 IVI458803 JFE458803 JPA458803 JYW458803 KIS458803 KSO458803 LCK458803 LMG458803 LWC458803 MFY458803 MPU458803 MZQ458803 NJM458803 NTI458803 ODE458803 ONA458803 OWW458803 PGS458803 PQO458803 QAK458803 QKG458803 QUC458803 RDY458803 RNU458803 RXQ458803 SHM458803 SRI458803 TBE458803 TLA458803 TUW458803 UES458803 UOO458803 UYK458803 VIG458803 VSC458803 WBY458803 WLU458803 WVQ458803 I524339 JE524339 TA524339 ACW524339 AMS524339 AWO524339 BGK524339 BQG524339 CAC524339 CJY524339 CTU524339 DDQ524339 DNM524339 DXI524339 EHE524339 ERA524339 FAW524339 FKS524339 FUO524339 GEK524339 GOG524339 GYC524339 HHY524339 HRU524339 IBQ524339 ILM524339 IVI524339 JFE524339 JPA524339 JYW524339 KIS524339 KSO524339 LCK524339 LMG524339 LWC524339 MFY524339 MPU524339 MZQ524339 NJM524339 NTI524339 ODE524339 ONA524339 OWW524339 PGS524339 PQO524339 QAK524339 QKG524339 QUC524339 RDY524339 RNU524339 RXQ524339 SHM524339 SRI524339 TBE524339 TLA524339 TUW524339 UES524339 UOO524339 UYK524339 VIG524339 VSC524339 WBY524339 WLU524339 WVQ524339 I589875 JE589875 TA589875 ACW589875 AMS589875 AWO589875 BGK589875 BQG589875 CAC589875 CJY589875 CTU589875 DDQ589875 DNM589875 DXI589875 EHE589875 ERA589875 FAW589875 FKS589875 FUO589875 GEK589875 GOG589875 GYC589875 HHY589875 HRU589875 IBQ589875 ILM589875 IVI589875 JFE589875 JPA589875 JYW589875 KIS589875 KSO589875 LCK589875 LMG589875 LWC589875 MFY589875 MPU589875 MZQ589875 NJM589875 NTI589875 ODE589875 ONA589875 OWW589875 PGS589875 PQO589875 QAK589875 QKG589875 QUC589875 RDY589875 RNU589875 RXQ589875 SHM589875 SRI589875 TBE589875 TLA589875 TUW589875 UES589875 UOO589875 UYK589875 VIG589875 VSC589875 WBY589875 WLU589875 WVQ589875 I655411 JE655411 TA655411 ACW655411 AMS655411 AWO655411 BGK655411 BQG655411 CAC655411 CJY655411 CTU655411 DDQ655411 DNM655411 DXI655411 EHE655411 ERA655411 FAW655411 FKS655411 FUO655411 GEK655411 GOG655411 GYC655411 HHY655411 HRU655411 IBQ655411 ILM655411 IVI655411 JFE655411 JPA655411 JYW655411 KIS655411 KSO655411 LCK655411 LMG655411 LWC655411 MFY655411 MPU655411 MZQ655411 NJM655411 NTI655411 ODE655411 ONA655411 OWW655411 PGS655411 PQO655411 QAK655411 QKG655411 QUC655411 RDY655411 RNU655411 RXQ655411 SHM655411 SRI655411 TBE655411 TLA655411 TUW655411 UES655411 UOO655411 UYK655411 VIG655411 VSC655411 WBY655411 WLU655411 WVQ655411 I720947 JE720947 TA720947 ACW720947 AMS720947 AWO720947 BGK720947 BQG720947 CAC720947 CJY720947 CTU720947 DDQ720947 DNM720947 DXI720947 EHE720947 ERA720947 FAW720947 FKS720947 FUO720947 GEK720947 GOG720947 GYC720947 HHY720947 HRU720947 IBQ720947 ILM720947 IVI720947 JFE720947 JPA720947 JYW720947 KIS720947 KSO720947 LCK720947 LMG720947 LWC720947 MFY720947 MPU720947 MZQ720947 NJM720947 NTI720947 ODE720947 ONA720947 OWW720947 PGS720947 PQO720947 QAK720947 QKG720947 QUC720947 RDY720947 RNU720947 RXQ720947 SHM720947 SRI720947 TBE720947 TLA720947 TUW720947 UES720947 UOO720947 UYK720947 VIG720947 VSC720947 WBY720947 WLU720947 WVQ720947 I786483 JE786483 TA786483 ACW786483 AMS786483 AWO786483 BGK786483 BQG786483 CAC786483 CJY786483 CTU786483 DDQ786483 DNM786483 DXI786483 EHE786483 ERA786483 FAW786483 FKS786483 FUO786483 GEK786483 GOG786483 GYC786483 HHY786483 HRU786483 IBQ786483 ILM786483 IVI786483 JFE786483 JPA786483 JYW786483 KIS786483 KSO786483 LCK786483 LMG786483 LWC786483 MFY786483 MPU786483 MZQ786483 NJM786483 NTI786483 ODE786483 ONA786483 OWW786483 PGS786483 PQO786483 QAK786483 QKG786483 QUC786483 RDY786483 RNU786483 RXQ786483 SHM786483 SRI786483 TBE786483 TLA786483 TUW786483 UES786483 UOO786483 UYK786483 VIG786483 VSC786483 WBY786483 WLU786483 WVQ786483 I852019 JE852019 TA852019 ACW852019 AMS852019 AWO852019 BGK852019 BQG852019 CAC852019 CJY852019 CTU852019 DDQ852019 DNM852019 DXI852019 EHE852019 ERA852019 FAW852019 FKS852019 FUO852019 GEK852019 GOG852019 GYC852019 HHY852019 HRU852019 IBQ852019 ILM852019 IVI852019 JFE852019 JPA852019 JYW852019 KIS852019 KSO852019 LCK852019 LMG852019 LWC852019 MFY852019 MPU852019 MZQ852019 NJM852019 NTI852019 ODE852019 ONA852019 OWW852019 PGS852019 PQO852019 QAK852019 QKG852019 QUC852019 RDY852019 RNU852019 RXQ852019 SHM852019 SRI852019 TBE852019 TLA852019 TUW852019 UES852019 UOO852019 UYK852019 VIG852019 VSC852019 WBY852019 WLU852019 WVQ852019 I917555 JE917555 TA917555 ACW917555 AMS917555 AWO917555 BGK917555 BQG917555 CAC917555 CJY917555 CTU917555 DDQ917555 DNM917555 DXI917555 EHE917555 ERA917555 FAW917555 FKS917555 FUO917555 GEK917555 GOG917555 GYC917555 HHY917555 HRU917555 IBQ917555 ILM917555 IVI917555 JFE917555 JPA917555 JYW917555 KIS917555 KSO917555 LCK917555 LMG917555 LWC917555 MFY917555 MPU917555 MZQ917555 NJM917555 NTI917555 ODE917555 ONA917555 OWW917555 PGS917555 PQO917555 QAK917555 QKG917555 QUC917555 RDY917555 RNU917555 RXQ917555 SHM917555 SRI917555 TBE917555 TLA917555 TUW917555 UES917555 UOO917555 UYK917555 VIG917555 VSC917555 WBY917555 WLU917555 WVQ917555 I983091 JE983091 TA983091 ACW983091 AMS983091 AWO983091 BGK983091 BQG983091 CAC983091 CJY983091 CTU983091 DDQ983091 DNM983091 DXI983091 EHE983091 ERA983091 FAW983091 FKS983091 FUO983091 GEK983091 GOG983091 GYC983091 HHY983091 HRU983091 IBQ983091 ILM983091 IVI983091 JFE983091 JPA983091 JYW983091 KIS983091 KSO983091 LCK983091 LMG983091 LWC983091 MFY983091 MPU983091 MZQ983091 NJM983091 NTI983091 ODE983091 ONA983091 OWW983091 PGS983091 PQO983091 QAK983091 QKG983091 QUC983091 RDY983091 RNU983091 RXQ983091 SHM983091 SRI983091 TBE983091 TLA983091 TUW983091 UES983091 UOO983091 UYK983091 VIG983091 VSC983091 WBY983091 WLU983091 WVQ983091 J54 JF54 TB54 ACX54 AMT54 AWP54 BGL54 BQH54 CAD54 CJZ54 CTV54 DDR54 DNN54 DXJ54 EHF54 ERB54 FAX54 FKT54 FUP54 GEL54 GOH54 GYD54 HHZ54 HRV54 IBR54 ILN54 IVJ54 JFF54 JPB54 JYX54 KIT54 KSP54 LCL54 LMH54 LWD54 MFZ54 MPV54 MZR54 NJN54 NTJ54 ODF54 ONB54 OWX54 PGT54 PQP54 QAL54 QKH54 QUD54 RDZ54 RNV54 RXR54 SHN54 SRJ54 TBF54 TLB54 TUX54 UET54 UOP54 UYL54 VIH54 VSD54 WBZ54 WLV54 WVR54 J65590 JF65590 TB65590 ACX65590 AMT65590 AWP65590 BGL65590 BQH65590 CAD65590 CJZ65590 CTV65590 DDR65590 DNN65590 DXJ65590 EHF65590 ERB65590 FAX65590 FKT65590 FUP65590 GEL65590 GOH65590 GYD65590 HHZ65590 HRV65590 IBR65590 ILN65590 IVJ65590 JFF65590 JPB65590 JYX65590 KIT65590 KSP65590 LCL65590 LMH65590 LWD65590 MFZ65590 MPV65590 MZR65590 NJN65590 NTJ65590 ODF65590 ONB65590 OWX65590 PGT65590 PQP65590 QAL65590 QKH65590 QUD65590 RDZ65590 RNV65590 RXR65590 SHN65590 SRJ65590 TBF65590 TLB65590 TUX65590 UET65590 UOP65590 UYL65590 VIH65590 VSD65590 WBZ65590 WLV65590 WVR65590 J131126 JF131126 TB131126 ACX131126 AMT131126 AWP131126 BGL131126 BQH131126 CAD131126 CJZ131126 CTV131126 DDR131126 DNN131126 DXJ131126 EHF131126 ERB131126 FAX131126 FKT131126 FUP131126 GEL131126 GOH131126 GYD131126 HHZ131126 HRV131126 IBR131126 ILN131126 IVJ131126 JFF131126 JPB131126 JYX131126 KIT131126 KSP131126 LCL131126 LMH131126 LWD131126 MFZ131126 MPV131126 MZR131126 NJN131126 NTJ131126 ODF131126 ONB131126 OWX131126 PGT131126 PQP131126 QAL131126 QKH131126 QUD131126 RDZ131126 RNV131126 RXR131126 SHN131126 SRJ131126 TBF131126 TLB131126 TUX131126 UET131126 UOP131126 UYL131126 VIH131126 VSD131126 WBZ131126 WLV131126 WVR131126 J196662 JF196662 TB196662 ACX196662 AMT196662 AWP196662 BGL196662 BQH196662 CAD196662 CJZ196662 CTV196662 DDR196662 DNN196662 DXJ196662 EHF196662 ERB196662 FAX196662 FKT196662 FUP196662 GEL196662 GOH196662 GYD196662 HHZ196662 HRV196662 IBR196662 ILN196662 IVJ196662 JFF196662 JPB196662 JYX196662 KIT196662 KSP196662 LCL196662 LMH196662 LWD196662 MFZ196662 MPV196662 MZR196662 NJN196662 NTJ196662 ODF196662 ONB196662 OWX196662 PGT196662 PQP196662 QAL196662 QKH196662 QUD196662 RDZ196662 RNV196662 RXR196662 SHN196662 SRJ196662 TBF196662 TLB196662 TUX196662 UET196662 UOP196662 UYL196662 VIH196662 VSD196662 WBZ196662 WLV196662 WVR196662 J262198 JF262198 TB262198 ACX262198 AMT262198 AWP262198 BGL262198 BQH262198 CAD262198 CJZ262198 CTV262198 DDR262198 DNN262198 DXJ262198 EHF262198 ERB262198 FAX262198 FKT262198 FUP262198 GEL262198 GOH262198 GYD262198 HHZ262198 HRV262198 IBR262198 ILN262198 IVJ262198 JFF262198 JPB262198 JYX262198 KIT262198 KSP262198 LCL262198 LMH262198 LWD262198 MFZ262198 MPV262198 MZR262198 NJN262198 NTJ262198 ODF262198 ONB262198 OWX262198 PGT262198 PQP262198 QAL262198 QKH262198 QUD262198 RDZ262198 RNV262198 RXR262198 SHN262198 SRJ262198 TBF262198 TLB262198 TUX262198 UET262198 UOP262198 UYL262198 VIH262198 VSD262198 WBZ262198 WLV262198 WVR262198 J327734 JF327734 TB327734 ACX327734 AMT327734 AWP327734 BGL327734 BQH327734 CAD327734 CJZ327734 CTV327734 DDR327734 DNN327734 DXJ327734 EHF327734 ERB327734 FAX327734 FKT327734 FUP327734 GEL327734 GOH327734 GYD327734 HHZ327734 HRV327734 IBR327734 ILN327734 IVJ327734 JFF327734 JPB327734 JYX327734 KIT327734 KSP327734 LCL327734 LMH327734 LWD327734 MFZ327734 MPV327734 MZR327734 NJN327734 NTJ327734 ODF327734 ONB327734 OWX327734 PGT327734 PQP327734 QAL327734 QKH327734 QUD327734 RDZ327734 RNV327734 RXR327734 SHN327734 SRJ327734 TBF327734 TLB327734 TUX327734 UET327734 UOP327734 UYL327734 VIH327734 VSD327734 WBZ327734 WLV327734 WVR327734 J393270 JF393270 TB393270 ACX393270 AMT393270 AWP393270 BGL393270 BQH393270 CAD393270 CJZ393270 CTV393270 DDR393270 DNN393270 DXJ393270 EHF393270 ERB393270 FAX393270 FKT393270 FUP393270 GEL393270 GOH393270 GYD393270 HHZ393270 HRV393270 IBR393270 ILN393270 IVJ393270 JFF393270 JPB393270 JYX393270 KIT393270 KSP393270 LCL393270 LMH393270 LWD393270 MFZ393270 MPV393270 MZR393270 NJN393270 NTJ393270 ODF393270 ONB393270 OWX393270 PGT393270 PQP393270 QAL393270 QKH393270 QUD393270 RDZ393270 RNV393270 RXR393270 SHN393270 SRJ393270 TBF393270 TLB393270 TUX393270 UET393270 UOP393270 UYL393270 VIH393270 VSD393270 WBZ393270 WLV393270 WVR393270 J458806 JF458806 TB458806 ACX458806 AMT458806 AWP458806 BGL458806 BQH458806 CAD458806 CJZ458806 CTV458806 DDR458806 DNN458806 DXJ458806 EHF458806 ERB458806 FAX458806 FKT458806 FUP458806 GEL458806 GOH458806 GYD458806 HHZ458806 HRV458806 IBR458806 ILN458806 IVJ458806 JFF458806 JPB458806 JYX458806 KIT458806 KSP458806 LCL458806 LMH458806 LWD458806 MFZ458806 MPV458806 MZR458806 NJN458806 NTJ458806 ODF458806 ONB458806 OWX458806 PGT458806 PQP458806 QAL458806 QKH458806 QUD458806 RDZ458806 RNV458806 RXR458806 SHN458806 SRJ458806 TBF458806 TLB458806 TUX458806 UET458806 UOP458806 UYL458806 VIH458806 VSD458806 WBZ458806 WLV458806 WVR458806 J524342 JF524342 TB524342 ACX524342 AMT524342 AWP524342 BGL524342 BQH524342 CAD524342 CJZ524342 CTV524342 DDR524342 DNN524342 DXJ524342 EHF524342 ERB524342 FAX524342 FKT524342 FUP524342 GEL524342 GOH524342 GYD524342 HHZ524342 HRV524342 IBR524342 ILN524342 IVJ524342 JFF524342 JPB524342 JYX524342 KIT524342 KSP524342 LCL524342 LMH524342 LWD524342 MFZ524342 MPV524342 MZR524342 NJN524342 NTJ524342 ODF524342 ONB524342 OWX524342 PGT524342 PQP524342 QAL524342 QKH524342 QUD524342 RDZ524342 RNV524342 RXR524342 SHN524342 SRJ524342 TBF524342 TLB524342 TUX524342 UET524342 UOP524342 UYL524342 VIH524342 VSD524342 WBZ524342 WLV524342 WVR524342 J589878 JF589878 TB589878 ACX589878 AMT589878 AWP589878 BGL589878 BQH589878 CAD589878 CJZ589878 CTV589878 DDR589878 DNN589878 DXJ589878 EHF589878 ERB589878 FAX589878 FKT589878 FUP589878 GEL589878 GOH589878 GYD589878 HHZ589878 HRV589878 IBR589878 ILN589878 IVJ589878 JFF589878 JPB589878 JYX589878 KIT589878 KSP589878 LCL589878 LMH589878 LWD589878 MFZ589878 MPV589878 MZR589878 NJN589878 NTJ589878 ODF589878 ONB589878 OWX589878 PGT589878 PQP589878 QAL589878 QKH589878 QUD589878 RDZ589878 RNV589878 RXR589878 SHN589878 SRJ589878 TBF589878 TLB589878 TUX589878 UET589878 UOP589878 UYL589878 VIH589878 VSD589878 WBZ589878 WLV589878 WVR589878 J655414 JF655414 TB655414 ACX655414 AMT655414 AWP655414 BGL655414 BQH655414 CAD655414 CJZ655414 CTV655414 DDR655414 DNN655414 DXJ655414 EHF655414 ERB655414 FAX655414 FKT655414 FUP655414 GEL655414 GOH655414 GYD655414 HHZ655414 HRV655414 IBR655414 ILN655414 IVJ655414 JFF655414 JPB655414 JYX655414 KIT655414 KSP655414 LCL655414 LMH655414 LWD655414 MFZ655414 MPV655414 MZR655414 NJN655414 NTJ655414 ODF655414 ONB655414 OWX655414 PGT655414 PQP655414 QAL655414 QKH655414 QUD655414 RDZ655414 RNV655414 RXR655414 SHN655414 SRJ655414 TBF655414 TLB655414 TUX655414 UET655414 UOP655414 UYL655414 VIH655414 VSD655414 WBZ655414 WLV655414 WVR655414 J720950 JF720950 TB720950 ACX720950 AMT720950 AWP720950 BGL720950 BQH720950 CAD720950 CJZ720950 CTV720950 DDR720950 DNN720950 DXJ720950 EHF720950 ERB720950 FAX720950 FKT720950 FUP720950 GEL720950 GOH720950 GYD720950 HHZ720950 HRV720950 IBR720950 ILN720950 IVJ720950 JFF720950 JPB720950 JYX720950 KIT720950 KSP720950 LCL720950 LMH720950 LWD720950 MFZ720950 MPV720950 MZR720950 NJN720950 NTJ720950 ODF720950 ONB720950 OWX720950 PGT720950 PQP720950 QAL720950 QKH720950 QUD720950 RDZ720950 RNV720950 RXR720950 SHN720950 SRJ720950 TBF720950 TLB720950 TUX720950 UET720950 UOP720950 UYL720950 VIH720950 VSD720950 WBZ720950 WLV720950 WVR720950 J786486 JF786486 TB786486 ACX786486 AMT786486 AWP786486 BGL786486 BQH786486 CAD786486 CJZ786486 CTV786486 DDR786486 DNN786486 DXJ786486 EHF786486 ERB786486 FAX786486 FKT786486 FUP786486 GEL786486 GOH786486 GYD786486 HHZ786486 HRV786486 IBR786486 ILN786486 IVJ786486 JFF786486 JPB786486 JYX786486 KIT786486 KSP786486 LCL786486 LMH786486 LWD786486 MFZ786486 MPV786486 MZR786486 NJN786486 NTJ786486 ODF786486 ONB786486 OWX786486 PGT786486 PQP786486 QAL786486 QKH786486 QUD786486 RDZ786486 RNV786486 RXR786486 SHN786486 SRJ786486 TBF786486 TLB786486 TUX786486 UET786486 UOP786486 UYL786486 VIH786486 VSD786486 WBZ786486 WLV786486 WVR786486 J852022 JF852022 TB852022 ACX852022 AMT852022 AWP852022 BGL852022 BQH852022 CAD852022 CJZ852022 CTV852022 DDR852022 DNN852022 DXJ852022 EHF852022 ERB852022 FAX852022 FKT852022 FUP852022 GEL852022 GOH852022 GYD852022 HHZ852022 HRV852022 IBR852022 ILN852022 IVJ852022 JFF852022 JPB852022 JYX852022 KIT852022 KSP852022 LCL852022 LMH852022 LWD852022 MFZ852022 MPV852022 MZR852022 NJN852022 NTJ852022 ODF852022 ONB852022 OWX852022 PGT852022 PQP852022 QAL852022 QKH852022 QUD852022 RDZ852022 RNV852022 RXR852022 SHN852022 SRJ852022 TBF852022 TLB852022 TUX852022 UET852022 UOP852022 UYL852022 VIH852022 VSD852022 WBZ852022 WLV852022 WVR852022 J917558 JF917558 TB917558 ACX917558 AMT917558 AWP917558 BGL917558 BQH917558 CAD917558 CJZ917558 CTV917558 DDR917558 DNN917558 DXJ917558 EHF917558 ERB917558 FAX917558 FKT917558 FUP917558 GEL917558 GOH917558 GYD917558 HHZ917558 HRV917558 IBR917558 ILN917558 IVJ917558 JFF917558 JPB917558 JYX917558 KIT917558 KSP917558 LCL917558 LMH917558 LWD917558 MFZ917558 MPV917558 MZR917558 NJN917558 NTJ917558 ODF917558 ONB917558 OWX917558 PGT917558 PQP917558 QAL917558 QKH917558 QUD917558 RDZ917558 RNV917558 RXR917558 SHN917558 SRJ917558 TBF917558 TLB917558 TUX917558 UET917558 UOP917558 UYL917558 VIH917558 VSD917558 WBZ917558 WLV917558 WVR917558 J983094 JF983094 TB983094 ACX983094 AMT983094 AWP983094 BGL983094 BQH983094 CAD983094 CJZ983094 CTV983094 DDR983094 DNN983094 DXJ983094 EHF983094 ERB983094 FAX983094 FKT983094 FUP983094 GEL983094 GOH983094 GYD983094 HHZ983094 HRV983094 IBR983094 ILN983094 IVJ983094 JFF983094 JPB983094 JYX983094 KIT983094 KSP983094 LCL983094 LMH983094 LWD983094 MFZ983094 MPV983094 MZR983094 NJN983094 NTJ983094 ODF983094 ONB983094 OWX983094 PGT983094 PQP983094 QAL983094 QKH983094 QUD983094 RDZ983094 RNV983094 RXR983094 SHN983094 SRJ983094 TBF983094 TLB983094 TUX983094 UET983094 UOP983094 UYL983094 VIH983094 VSD983094 WBZ983094 WLV983094 WVR983094</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A1:BZ93"/>
  <sheetViews>
    <sheetView topLeftCell="CA1" zoomScale="70" zoomScaleNormal="70" workbookViewId="0">
      <selection sqref="A1:BZ1048576"/>
    </sheetView>
  </sheetViews>
  <sheetFormatPr defaultRowHeight="12" x14ac:dyDescent="0.2"/>
  <cols>
    <col min="1" max="1" width="8.88671875" style="1073" hidden="1" customWidth="1"/>
    <col min="2" max="2" width="2.88671875" style="1073" hidden="1" customWidth="1"/>
    <col min="3" max="3" width="5.21875" style="1101" hidden="1" customWidth="1"/>
    <col min="4" max="4" width="21.33203125" style="1073" hidden="1" customWidth="1"/>
    <col min="5" max="5" width="10.6640625" style="1073" hidden="1" customWidth="1"/>
    <col min="6" max="6" width="11.5546875" style="1073" hidden="1" customWidth="1"/>
    <col min="7" max="7" width="4.33203125" style="1101" hidden="1" customWidth="1"/>
    <col min="8" max="8" width="14.88671875" style="1073" hidden="1" customWidth="1"/>
    <col min="9" max="9" width="9" style="1073" hidden="1" customWidth="1"/>
    <col min="10" max="10" width="4.77734375" style="1101" hidden="1" customWidth="1"/>
    <col min="11" max="11" width="6.21875" style="1073" hidden="1" customWidth="1"/>
    <col min="12" max="12" width="7.109375" style="1073" hidden="1" customWidth="1"/>
    <col min="13" max="13" width="4.77734375" style="1101" hidden="1" customWidth="1"/>
    <col min="14" max="14" width="30.44140625" style="1073" hidden="1" customWidth="1"/>
    <col min="15" max="15" width="12.21875" style="1073" hidden="1" customWidth="1"/>
    <col min="16" max="16" width="12" style="1073" hidden="1" customWidth="1"/>
    <col min="17" max="17" width="4.44140625" style="1101" hidden="1" customWidth="1"/>
    <col min="18" max="18" width="10.109375" style="1073" hidden="1" customWidth="1"/>
    <col min="19" max="19" width="7.21875" style="1073" hidden="1" customWidth="1"/>
    <col min="20" max="20" width="13" style="1073" hidden="1" customWidth="1"/>
    <col min="21" max="21" width="4" style="1101" hidden="1" customWidth="1"/>
    <col min="22" max="22" width="27.5546875" style="1072" hidden="1" customWidth="1"/>
    <col min="23" max="23" width="10.33203125" style="1073" hidden="1" customWidth="1"/>
    <col min="24" max="24" width="4.33203125" style="1101" hidden="1" customWidth="1"/>
    <col min="25" max="25" width="20.6640625" style="1073" hidden="1" customWidth="1"/>
    <col min="26" max="27" width="12.33203125" style="1073" hidden="1" customWidth="1"/>
    <col min="28" max="28" width="17.6640625" style="1073" hidden="1" customWidth="1"/>
    <col min="29" max="29" width="12.21875" style="1073" hidden="1" customWidth="1"/>
    <col min="30" max="31" width="15.109375" style="1073" hidden="1" customWidth="1"/>
    <col min="32" max="34" width="8.88671875" style="1073" hidden="1" customWidth="1"/>
    <col min="35" max="35" width="32" style="1073" hidden="1" customWidth="1"/>
    <col min="36" max="37" width="11.5546875" style="1073" hidden="1" customWidth="1"/>
    <col min="38" max="38" width="10.88671875" style="1073" hidden="1" customWidth="1"/>
    <col min="39" max="78" width="8.88671875" style="1073" hidden="1" customWidth="1"/>
    <col min="79" max="256" width="8.88671875" style="1073"/>
    <col min="257" max="257" width="8.88671875" style="1073" customWidth="1"/>
    <col min="258" max="258" width="2.88671875" style="1073" customWidth="1"/>
    <col min="259" max="259" width="5.21875" style="1073" customWidth="1"/>
    <col min="260" max="260" width="20.109375" style="1073" customWidth="1"/>
    <col min="261" max="261" width="10.6640625" style="1073" customWidth="1"/>
    <col min="262" max="262" width="11.5546875" style="1073" customWidth="1"/>
    <col min="263" max="263" width="4.33203125" style="1073" customWidth="1"/>
    <col min="264" max="264" width="14.88671875" style="1073" customWidth="1"/>
    <col min="265" max="265" width="9" style="1073" customWidth="1"/>
    <col min="266" max="266" width="4.77734375" style="1073" customWidth="1"/>
    <col min="267" max="267" width="6.21875" style="1073" customWidth="1"/>
    <col min="268" max="268" width="7.109375" style="1073" customWidth="1"/>
    <col min="269" max="269" width="4.77734375" style="1073" customWidth="1"/>
    <col min="270" max="270" width="30.44140625" style="1073" customWidth="1"/>
    <col min="271" max="271" width="12.21875" style="1073" customWidth="1"/>
    <col min="272" max="272" width="12" style="1073" customWidth="1"/>
    <col min="273" max="273" width="4.44140625" style="1073" customWidth="1"/>
    <col min="274" max="274" width="10.109375" style="1073" customWidth="1"/>
    <col min="275" max="275" width="7.21875" style="1073" customWidth="1"/>
    <col min="276" max="276" width="13" style="1073" customWidth="1"/>
    <col min="277" max="277" width="4" style="1073" customWidth="1"/>
    <col min="278" max="278" width="27.5546875" style="1073" bestFit="1" customWidth="1"/>
    <col min="279" max="279" width="10.33203125" style="1073" customWidth="1"/>
    <col min="280" max="280" width="4.33203125" style="1073" customWidth="1"/>
    <col min="281" max="281" width="20.6640625" style="1073" customWidth="1"/>
    <col min="282" max="283" width="12.33203125" style="1073" customWidth="1"/>
    <col min="284" max="284" width="17.6640625" style="1073" customWidth="1"/>
    <col min="285" max="285" width="12.21875" style="1073" customWidth="1"/>
    <col min="286" max="287" width="15.109375" style="1073" customWidth="1"/>
    <col min="288" max="290" width="8.88671875" style="1073" customWidth="1"/>
    <col min="291" max="291" width="32" style="1073" customWidth="1"/>
    <col min="292" max="293" width="11.5546875" style="1073" customWidth="1"/>
    <col min="294" max="294" width="10.88671875" style="1073" customWidth="1"/>
    <col min="295" max="334" width="8.88671875" style="1073" customWidth="1"/>
    <col min="335" max="512" width="8.88671875" style="1073"/>
    <col min="513" max="513" width="8.88671875" style="1073" customWidth="1"/>
    <col min="514" max="514" width="2.88671875" style="1073" customWidth="1"/>
    <col min="515" max="515" width="5.21875" style="1073" customWidth="1"/>
    <col min="516" max="516" width="20.109375" style="1073" customWidth="1"/>
    <col min="517" max="517" width="10.6640625" style="1073" customWidth="1"/>
    <col min="518" max="518" width="11.5546875" style="1073" customWidth="1"/>
    <col min="519" max="519" width="4.33203125" style="1073" customWidth="1"/>
    <col min="520" max="520" width="14.88671875" style="1073" customWidth="1"/>
    <col min="521" max="521" width="9" style="1073" customWidth="1"/>
    <col min="522" max="522" width="4.77734375" style="1073" customWidth="1"/>
    <col min="523" max="523" width="6.21875" style="1073" customWidth="1"/>
    <col min="524" max="524" width="7.109375" style="1073" customWidth="1"/>
    <col min="525" max="525" width="4.77734375" style="1073" customWidth="1"/>
    <col min="526" max="526" width="30.44140625" style="1073" customWidth="1"/>
    <col min="527" max="527" width="12.21875" style="1073" customWidth="1"/>
    <col min="528" max="528" width="12" style="1073" customWidth="1"/>
    <col min="529" max="529" width="4.44140625" style="1073" customWidth="1"/>
    <col min="530" max="530" width="10.109375" style="1073" customWidth="1"/>
    <col min="531" max="531" width="7.21875" style="1073" customWidth="1"/>
    <col min="532" max="532" width="13" style="1073" customWidth="1"/>
    <col min="533" max="533" width="4" style="1073" customWidth="1"/>
    <col min="534" max="534" width="27.5546875" style="1073" bestFit="1" customWidth="1"/>
    <col min="535" max="535" width="10.33203125" style="1073" customWidth="1"/>
    <col min="536" max="536" width="4.33203125" style="1073" customWidth="1"/>
    <col min="537" max="537" width="20.6640625" style="1073" customWidth="1"/>
    <col min="538" max="539" width="12.33203125" style="1073" customWidth="1"/>
    <col min="540" max="540" width="17.6640625" style="1073" customWidth="1"/>
    <col min="541" max="541" width="12.21875" style="1073" customWidth="1"/>
    <col min="542" max="543" width="15.109375" style="1073" customWidth="1"/>
    <col min="544" max="546" width="8.88671875" style="1073" customWidth="1"/>
    <col min="547" max="547" width="32" style="1073" customWidth="1"/>
    <col min="548" max="549" width="11.5546875" style="1073" customWidth="1"/>
    <col min="550" max="550" width="10.88671875" style="1073" customWidth="1"/>
    <col min="551" max="590" width="8.88671875" style="1073" customWidth="1"/>
    <col min="591" max="768" width="8.88671875" style="1073"/>
    <col min="769" max="769" width="8.88671875" style="1073" customWidth="1"/>
    <col min="770" max="770" width="2.88671875" style="1073" customWidth="1"/>
    <col min="771" max="771" width="5.21875" style="1073" customWidth="1"/>
    <col min="772" max="772" width="20.109375" style="1073" customWidth="1"/>
    <col min="773" max="773" width="10.6640625" style="1073" customWidth="1"/>
    <col min="774" max="774" width="11.5546875" style="1073" customWidth="1"/>
    <col min="775" max="775" width="4.33203125" style="1073" customWidth="1"/>
    <col min="776" max="776" width="14.88671875" style="1073" customWidth="1"/>
    <col min="777" max="777" width="9" style="1073" customWidth="1"/>
    <col min="778" max="778" width="4.77734375" style="1073" customWidth="1"/>
    <col min="779" max="779" width="6.21875" style="1073" customWidth="1"/>
    <col min="780" max="780" width="7.109375" style="1073" customWidth="1"/>
    <col min="781" max="781" width="4.77734375" style="1073" customWidth="1"/>
    <col min="782" max="782" width="30.44140625" style="1073" customWidth="1"/>
    <col min="783" max="783" width="12.21875" style="1073" customWidth="1"/>
    <col min="784" max="784" width="12" style="1073" customWidth="1"/>
    <col min="785" max="785" width="4.44140625" style="1073" customWidth="1"/>
    <col min="786" max="786" width="10.109375" style="1073" customWidth="1"/>
    <col min="787" max="787" width="7.21875" style="1073" customWidth="1"/>
    <col min="788" max="788" width="13" style="1073" customWidth="1"/>
    <col min="789" max="789" width="4" style="1073" customWidth="1"/>
    <col min="790" max="790" width="27.5546875" style="1073" bestFit="1" customWidth="1"/>
    <col min="791" max="791" width="10.33203125" style="1073" customWidth="1"/>
    <col min="792" max="792" width="4.33203125" style="1073" customWidth="1"/>
    <col min="793" max="793" width="20.6640625" style="1073" customWidth="1"/>
    <col min="794" max="795" width="12.33203125" style="1073" customWidth="1"/>
    <col min="796" max="796" width="17.6640625" style="1073" customWidth="1"/>
    <col min="797" max="797" width="12.21875" style="1073" customWidth="1"/>
    <col min="798" max="799" width="15.109375" style="1073" customWidth="1"/>
    <col min="800" max="802" width="8.88671875" style="1073" customWidth="1"/>
    <col min="803" max="803" width="32" style="1073" customWidth="1"/>
    <col min="804" max="805" width="11.5546875" style="1073" customWidth="1"/>
    <col min="806" max="806" width="10.88671875" style="1073" customWidth="1"/>
    <col min="807" max="846" width="8.88671875" style="1073" customWidth="1"/>
    <col min="847" max="1024" width="8.88671875" style="1073"/>
    <col min="1025" max="1025" width="8.88671875" style="1073" customWidth="1"/>
    <col min="1026" max="1026" width="2.88671875" style="1073" customWidth="1"/>
    <col min="1027" max="1027" width="5.21875" style="1073" customWidth="1"/>
    <col min="1028" max="1028" width="20.109375" style="1073" customWidth="1"/>
    <col min="1029" max="1029" width="10.6640625" style="1073" customWidth="1"/>
    <col min="1030" max="1030" width="11.5546875" style="1073" customWidth="1"/>
    <col min="1031" max="1031" width="4.33203125" style="1073" customWidth="1"/>
    <col min="1032" max="1032" width="14.88671875" style="1073" customWidth="1"/>
    <col min="1033" max="1033" width="9" style="1073" customWidth="1"/>
    <col min="1034" max="1034" width="4.77734375" style="1073" customWidth="1"/>
    <col min="1035" max="1035" width="6.21875" style="1073" customWidth="1"/>
    <col min="1036" max="1036" width="7.109375" style="1073" customWidth="1"/>
    <col min="1037" max="1037" width="4.77734375" style="1073" customWidth="1"/>
    <col min="1038" max="1038" width="30.44140625" style="1073" customWidth="1"/>
    <col min="1039" max="1039" width="12.21875" style="1073" customWidth="1"/>
    <col min="1040" max="1040" width="12" style="1073" customWidth="1"/>
    <col min="1041" max="1041" width="4.44140625" style="1073" customWidth="1"/>
    <col min="1042" max="1042" width="10.109375" style="1073" customWidth="1"/>
    <col min="1043" max="1043" width="7.21875" style="1073" customWidth="1"/>
    <col min="1044" max="1044" width="13" style="1073" customWidth="1"/>
    <col min="1045" max="1045" width="4" style="1073" customWidth="1"/>
    <col min="1046" max="1046" width="27.5546875" style="1073" bestFit="1" customWidth="1"/>
    <col min="1047" max="1047" width="10.33203125" style="1073" customWidth="1"/>
    <col min="1048" max="1048" width="4.33203125" style="1073" customWidth="1"/>
    <col min="1049" max="1049" width="20.6640625" style="1073" customWidth="1"/>
    <col min="1050" max="1051" width="12.33203125" style="1073" customWidth="1"/>
    <col min="1052" max="1052" width="17.6640625" style="1073" customWidth="1"/>
    <col min="1053" max="1053" width="12.21875" style="1073" customWidth="1"/>
    <col min="1054" max="1055" width="15.109375" style="1073" customWidth="1"/>
    <col min="1056" max="1058" width="8.88671875" style="1073" customWidth="1"/>
    <col min="1059" max="1059" width="32" style="1073" customWidth="1"/>
    <col min="1060" max="1061" width="11.5546875" style="1073" customWidth="1"/>
    <col min="1062" max="1062" width="10.88671875" style="1073" customWidth="1"/>
    <col min="1063" max="1102" width="8.88671875" style="1073" customWidth="1"/>
    <col min="1103" max="1280" width="8.88671875" style="1073"/>
    <col min="1281" max="1281" width="8.88671875" style="1073" customWidth="1"/>
    <col min="1282" max="1282" width="2.88671875" style="1073" customWidth="1"/>
    <col min="1283" max="1283" width="5.21875" style="1073" customWidth="1"/>
    <col min="1284" max="1284" width="20.109375" style="1073" customWidth="1"/>
    <col min="1285" max="1285" width="10.6640625" style="1073" customWidth="1"/>
    <col min="1286" max="1286" width="11.5546875" style="1073" customWidth="1"/>
    <col min="1287" max="1287" width="4.33203125" style="1073" customWidth="1"/>
    <col min="1288" max="1288" width="14.88671875" style="1073" customWidth="1"/>
    <col min="1289" max="1289" width="9" style="1073" customWidth="1"/>
    <col min="1290" max="1290" width="4.77734375" style="1073" customWidth="1"/>
    <col min="1291" max="1291" width="6.21875" style="1073" customWidth="1"/>
    <col min="1292" max="1292" width="7.109375" style="1073" customWidth="1"/>
    <col min="1293" max="1293" width="4.77734375" style="1073" customWidth="1"/>
    <col min="1294" max="1294" width="30.44140625" style="1073" customWidth="1"/>
    <col min="1295" max="1295" width="12.21875" style="1073" customWidth="1"/>
    <col min="1296" max="1296" width="12" style="1073" customWidth="1"/>
    <col min="1297" max="1297" width="4.44140625" style="1073" customWidth="1"/>
    <col min="1298" max="1298" width="10.109375" style="1073" customWidth="1"/>
    <col min="1299" max="1299" width="7.21875" style="1073" customWidth="1"/>
    <col min="1300" max="1300" width="13" style="1073" customWidth="1"/>
    <col min="1301" max="1301" width="4" style="1073" customWidth="1"/>
    <col min="1302" max="1302" width="27.5546875" style="1073" bestFit="1" customWidth="1"/>
    <col min="1303" max="1303" width="10.33203125" style="1073" customWidth="1"/>
    <col min="1304" max="1304" width="4.33203125" style="1073" customWidth="1"/>
    <col min="1305" max="1305" width="20.6640625" style="1073" customWidth="1"/>
    <col min="1306" max="1307" width="12.33203125" style="1073" customWidth="1"/>
    <col min="1308" max="1308" width="17.6640625" style="1073" customWidth="1"/>
    <col min="1309" max="1309" width="12.21875" style="1073" customWidth="1"/>
    <col min="1310" max="1311" width="15.109375" style="1073" customWidth="1"/>
    <col min="1312" max="1314" width="8.88671875" style="1073" customWidth="1"/>
    <col min="1315" max="1315" width="32" style="1073" customWidth="1"/>
    <col min="1316" max="1317" width="11.5546875" style="1073" customWidth="1"/>
    <col min="1318" max="1318" width="10.88671875" style="1073" customWidth="1"/>
    <col min="1319" max="1358" width="8.88671875" style="1073" customWidth="1"/>
    <col min="1359" max="1536" width="8.88671875" style="1073"/>
    <col min="1537" max="1537" width="8.88671875" style="1073" customWidth="1"/>
    <col min="1538" max="1538" width="2.88671875" style="1073" customWidth="1"/>
    <col min="1539" max="1539" width="5.21875" style="1073" customWidth="1"/>
    <col min="1540" max="1540" width="20.109375" style="1073" customWidth="1"/>
    <col min="1541" max="1541" width="10.6640625" style="1073" customWidth="1"/>
    <col min="1542" max="1542" width="11.5546875" style="1073" customWidth="1"/>
    <col min="1543" max="1543" width="4.33203125" style="1073" customWidth="1"/>
    <col min="1544" max="1544" width="14.88671875" style="1073" customWidth="1"/>
    <col min="1545" max="1545" width="9" style="1073" customWidth="1"/>
    <col min="1546" max="1546" width="4.77734375" style="1073" customWidth="1"/>
    <col min="1547" max="1547" width="6.21875" style="1073" customWidth="1"/>
    <col min="1548" max="1548" width="7.109375" style="1073" customWidth="1"/>
    <col min="1549" max="1549" width="4.77734375" style="1073" customWidth="1"/>
    <col min="1550" max="1550" width="30.44140625" style="1073" customWidth="1"/>
    <col min="1551" max="1551" width="12.21875" style="1073" customWidth="1"/>
    <col min="1552" max="1552" width="12" style="1073" customWidth="1"/>
    <col min="1553" max="1553" width="4.44140625" style="1073" customWidth="1"/>
    <col min="1554" max="1554" width="10.109375" style="1073" customWidth="1"/>
    <col min="1555" max="1555" width="7.21875" style="1073" customWidth="1"/>
    <col min="1556" max="1556" width="13" style="1073" customWidth="1"/>
    <col min="1557" max="1557" width="4" style="1073" customWidth="1"/>
    <col min="1558" max="1558" width="27.5546875" style="1073" bestFit="1" customWidth="1"/>
    <col min="1559" max="1559" width="10.33203125" style="1073" customWidth="1"/>
    <col min="1560" max="1560" width="4.33203125" style="1073" customWidth="1"/>
    <col min="1561" max="1561" width="20.6640625" style="1073" customWidth="1"/>
    <col min="1562" max="1563" width="12.33203125" style="1073" customWidth="1"/>
    <col min="1564" max="1564" width="17.6640625" style="1073" customWidth="1"/>
    <col min="1565" max="1565" width="12.21875" style="1073" customWidth="1"/>
    <col min="1566" max="1567" width="15.109375" style="1073" customWidth="1"/>
    <col min="1568" max="1570" width="8.88671875" style="1073" customWidth="1"/>
    <col min="1571" max="1571" width="32" style="1073" customWidth="1"/>
    <col min="1572" max="1573" width="11.5546875" style="1073" customWidth="1"/>
    <col min="1574" max="1574" width="10.88671875" style="1073" customWidth="1"/>
    <col min="1575" max="1614" width="8.88671875" style="1073" customWidth="1"/>
    <col min="1615" max="1792" width="8.88671875" style="1073"/>
    <col min="1793" max="1793" width="8.88671875" style="1073" customWidth="1"/>
    <col min="1794" max="1794" width="2.88671875" style="1073" customWidth="1"/>
    <col min="1795" max="1795" width="5.21875" style="1073" customWidth="1"/>
    <col min="1796" max="1796" width="20.109375" style="1073" customWidth="1"/>
    <col min="1797" max="1797" width="10.6640625" style="1073" customWidth="1"/>
    <col min="1798" max="1798" width="11.5546875" style="1073" customWidth="1"/>
    <col min="1799" max="1799" width="4.33203125" style="1073" customWidth="1"/>
    <col min="1800" max="1800" width="14.88671875" style="1073" customWidth="1"/>
    <col min="1801" max="1801" width="9" style="1073" customWidth="1"/>
    <col min="1802" max="1802" width="4.77734375" style="1073" customWidth="1"/>
    <col min="1803" max="1803" width="6.21875" style="1073" customWidth="1"/>
    <col min="1804" max="1804" width="7.109375" style="1073" customWidth="1"/>
    <col min="1805" max="1805" width="4.77734375" style="1073" customWidth="1"/>
    <col min="1806" max="1806" width="30.44140625" style="1073" customWidth="1"/>
    <col min="1807" max="1807" width="12.21875" style="1073" customWidth="1"/>
    <col min="1808" max="1808" width="12" style="1073" customWidth="1"/>
    <col min="1809" max="1809" width="4.44140625" style="1073" customWidth="1"/>
    <col min="1810" max="1810" width="10.109375" style="1073" customWidth="1"/>
    <col min="1811" max="1811" width="7.21875" style="1073" customWidth="1"/>
    <col min="1812" max="1812" width="13" style="1073" customWidth="1"/>
    <col min="1813" max="1813" width="4" style="1073" customWidth="1"/>
    <col min="1814" max="1814" width="27.5546875" style="1073" bestFit="1" customWidth="1"/>
    <col min="1815" max="1815" width="10.33203125" style="1073" customWidth="1"/>
    <col min="1816" max="1816" width="4.33203125" style="1073" customWidth="1"/>
    <col min="1817" max="1817" width="20.6640625" style="1073" customWidth="1"/>
    <col min="1818" max="1819" width="12.33203125" style="1073" customWidth="1"/>
    <col min="1820" max="1820" width="17.6640625" style="1073" customWidth="1"/>
    <col min="1821" max="1821" width="12.21875" style="1073" customWidth="1"/>
    <col min="1822" max="1823" width="15.109375" style="1073" customWidth="1"/>
    <col min="1824" max="1826" width="8.88671875" style="1073" customWidth="1"/>
    <col min="1827" max="1827" width="32" style="1073" customWidth="1"/>
    <col min="1828" max="1829" width="11.5546875" style="1073" customWidth="1"/>
    <col min="1830" max="1830" width="10.88671875" style="1073" customWidth="1"/>
    <col min="1831" max="1870" width="8.88671875" style="1073" customWidth="1"/>
    <col min="1871" max="2048" width="8.88671875" style="1073"/>
    <col min="2049" max="2049" width="8.88671875" style="1073" customWidth="1"/>
    <col min="2050" max="2050" width="2.88671875" style="1073" customWidth="1"/>
    <col min="2051" max="2051" width="5.21875" style="1073" customWidth="1"/>
    <col min="2052" max="2052" width="20.109375" style="1073" customWidth="1"/>
    <col min="2053" max="2053" width="10.6640625" style="1073" customWidth="1"/>
    <col min="2054" max="2054" width="11.5546875" style="1073" customWidth="1"/>
    <col min="2055" max="2055" width="4.33203125" style="1073" customWidth="1"/>
    <col min="2056" max="2056" width="14.88671875" style="1073" customWidth="1"/>
    <col min="2057" max="2057" width="9" style="1073" customWidth="1"/>
    <col min="2058" max="2058" width="4.77734375" style="1073" customWidth="1"/>
    <col min="2059" max="2059" width="6.21875" style="1073" customWidth="1"/>
    <col min="2060" max="2060" width="7.109375" style="1073" customWidth="1"/>
    <col min="2061" max="2061" width="4.77734375" style="1073" customWidth="1"/>
    <col min="2062" max="2062" width="30.44140625" style="1073" customWidth="1"/>
    <col min="2063" max="2063" width="12.21875" style="1073" customWidth="1"/>
    <col min="2064" max="2064" width="12" style="1073" customWidth="1"/>
    <col min="2065" max="2065" width="4.44140625" style="1073" customWidth="1"/>
    <col min="2066" max="2066" width="10.109375" style="1073" customWidth="1"/>
    <col min="2067" max="2067" width="7.21875" style="1073" customWidth="1"/>
    <col min="2068" max="2068" width="13" style="1073" customWidth="1"/>
    <col min="2069" max="2069" width="4" style="1073" customWidth="1"/>
    <col min="2070" max="2070" width="27.5546875" style="1073" bestFit="1" customWidth="1"/>
    <col min="2071" max="2071" width="10.33203125" style="1073" customWidth="1"/>
    <col min="2072" max="2072" width="4.33203125" style="1073" customWidth="1"/>
    <col min="2073" max="2073" width="20.6640625" style="1073" customWidth="1"/>
    <col min="2074" max="2075" width="12.33203125" style="1073" customWidth="1"/>
    <col min="2076" max="2076" width="17.6640625" style="1073" customWidth="1"/>
    <col min="2077" max="2077" width="12.21875" style="1073" customWidth="1"/>
    <col min="2078" max="2079" width="15.109375" style="1073" customWidth="1"/>
    <col min="2080" max="2082" width="8.88671875" style="1073" customWidth="1"/>
    <col min="2083" max="2083" width="32" style="1073" customWidth="1"/>
    <col min="2084" max="2085" width="11.5546875" style="1073" customWidth="1"/>
    <col min="2086" max="2086" width="10.88671875" style="1073" customWidth="1"/>
    <col min="2087" max="2126" width="8.88671875" style="1073" customWidth="1"/>
    <col min="2127" max="2304" width="8.88671875" style="1073"/>
    <col min="2305" max="2305" width="8.88671875" style="1073" customWidth="1"/>
    <col min="2306" max="2306" width="2.88671875" style="1073" customWidth="1"/>
    <col min="2307" max="2307" width="5.21875" style="1073" customWidth="1"/>
    <col min="2308" max="2308" width="20.109375" style="1073" customWidth="1"/>
    <col min="2309" max="2309" width="10.6640625" style="1073" customWidth="1"/>
    <col min="2310" max="2310" width="11.5546875" style="1073" customWidth="1"/>
    <col min="2311" max="2311" width="4.33203125" style="1073" customWidth="1"/>
    <col min="2312" max="2312" width="14.88671875" style="1073" customWidth="1"/>
    <col min="2313" max="2313" width="9" style="1073" customWidth="1"/>
    <col min="2314" max="2314" width="4.77734375" style="1073" customWidth="1"/>
    <col min="2315" max="2315" width="6.21875" style="1073" customWidth="1"/>
    <col min="2316" max="2316" width="7.109375" style="1073" customWidth="1"/>
    <col min="2317" max="2317" width="4.77734375" style="1073" customWidth="1"/>
    <col min="2318" max="2318" width="30.44140625" style="1073" customWidth="1"/>
    <col min="2319" max="2319" width="12.21875" style="1073" customWidth="1"/>
    <col min="2320" max="2320" width="12" style="1073" customWidth="1"/>
    <col min="2321" max="2321" width="4.44140625" style="1073" customWidth="1"/>
    <col min="2322" max="2322" width="10.109375" style="1073" customWidth="1"/>
    <col min="2323" max="2323" width="7.21875" style="1073" customWidth="1"/>
    <col min="2324" max="2324" width="13" style="1073" customWidth="1"/>
    <col min="2325" max="2325" width="4" style="1073" customWidth="1"/>
    <col min="2326" max="2326" width="27.5546875" style="1073" bestFit="1" customWidth="1"/>
    <col min="2327" max="2327" width="10.33203125" style="1073" customWidth="1"/>
    <col min="2328" max="2328" width="4.33203125" style="1073" customWidth="1"/>
    <col min="2329" max="2329" width="20.6640625" style="1073" customWidth="1"/>
    <col min="2330" max="2331" width="12.33203125" style="1073" customWidth="1"/>
    <col min="2332" max="2332" width="17.6640625" style="1073" customWidth="1"/>
    <col min="2333" max="2333" width="12.21875" style="1073" customWidth="1"/>
    <col min="2334" max="2335" width="15.109375" style="1073" customWidth="1"/>
    <col min="2336" max="2338" width="8.88671875" style="1073" customWidth="1"/>
    <col min="2339" max="2339" width="32" style="1073" customWidth="1"/>
    <col min="2340" max="2341" width="11.5546875" style="1073" customWidth="1"/>
    <col min="2342" max="2342" width="10.88671875" style="1073" customWidth="1"/>
    <col min="2343" max="2382" width="8.88671875" style="1073" customWidth="1"/>
    <col min="2383" max="2560" width="8.88671875" style="1073"/>
    <col min="2561" max="2561" width="8.88671875" style="1073" customWidth="1"/>
    <col min="2562" max="2562" width="2.88671875" style="1073" customWidth="1"/>
    <col min="2563" max="2563" width="5.21875" style="1073" customWidth="1"/>
    <col min="2564" max="2564" width="20.109375" style="1073" customWidth="1"/>
    <col min="2565" max="2565" width="10.6640625" style="1073" customWidth="1"/>
    <col min="2566" max="2566" width="11.5546875" style="1073" customWidth="1"/>
    <col min="2567" max="2567" width="4.33203125" style="1073" customWidth="1"/>
    <col min="2568" max="2568" width="14.88671875" style="1073" customWidth="1"/>
    <col min="2569" max="2569" width="9" style="1073" customWidth="1"/>
    <col min="2570" max="2570" width="4.77734375" style="1073" customWidth="1"/>
    <col min="2571" max="2571" width="6.21875" style="1073" customWidth="1"/>
    <col min="2572" max="2572" width="7.109375" style="1073" customWidth="1"/>
    <col min="2573" max="2573" width="4.77734375" style="1073" customWidth="1"/>
    <col min="2574" max="2574" width="30.44140625" style="1073" customWidth="1"/>
    <col min="2575" max="2575" width="12.21875" style="1073" customWidth="1"/>
    <col min="2576" max="2576" width="12" style="1073" customWidth="1"/>
    <col min="2577" max="2577" width="4.44140625" style="1073" customWidth="1"/>
    <col min="2578" max="2578" width="10.109375" style="1073" customWidth="1"/>
    <col min="2579" max="2579" width="7.21875" style="1073" customWidth="1"/>
    <col min="2580" max="2580" width="13" style="1073" customWidth="1"/>
    <col min="2581" max="2581" width="4" style="1073" customWidth="1"/>
    <col min="2582" max="2582" width="27.5546875" style="1073" bestFit="1" customWidth="1"/>
    <col min="2583" max="2583" width="10.33203125" style="1073" customWidth="1"/>
    <col min="2584" max="2584" width="4.33203125" style="1073" customWidth="1"/>
    <col min="2585" max="2585" width="20.6640625" style="1073" customWidth="1"/>
    <col min="2586" max="2587" width="12.33203125" style="1073" customWidth="1"/>
    <col min="2588" max="2588" width="17.6640625" style="1073" customWidth="1"/>
    <col min="2589" max="2589" width="12.21875" style="1073" customWidth="1"/>
    <col min="2590" max="2591" width="15.109375" style="1073" customWidth="1"/>
    <col min="2592" max="2594" width="8.88671875" style="1073" customWidth="1"/>
    <col min="2595" max="2595" width="32" style="1073" customWidth="1"/>
    <col min="2596" max="2597" width="11.5546875" style="1073" customWidth="1"/>
    <col min="2598" max="2598" width="10.88671875" style="1073" customWidth="1"/>
    <col min="2599" max="2638" width="8.88671875" style="1073" customWidth="1"/>
    <col min="2639" max="2816" width="8.88671875" style="1073"/>
    <col min="2817" max="2817" width="8.88671875" style="1073" customWidth="1"/>
    <col min="2818" max="2818" width="2.88671875" style="1073" customWidth="1"/>
    <col min="2819" max="2819" width="5.21875" style="1073" customWidth="1"/>
    <col min="2820" max="2820" width="20.109375" style="1073" customWidth="1"/>
    <col min="2821" max="2821" width="10.6640625" style="1073" customWidth="1"/>
    <col min="2822" max="2822" width="11.5546875" style="1073" customWidth="1"/>
    <col min="2823" max="2823" width="4.33203125" style="1073" customWidth="1"/>
    <col min="2824" max="2824" width="14.88671875" style="1073" customWidth="1"/>
    <col min="2825" max="2825" width="9" style="1073" customWidth="1"/>
    <col min="2826" max="2826" width="4.77734375" style="1073" customWidth="1"/>
    <col min="2827" max="2827" width="6.21875" style="1073" customWidth="1"/>
    <col min="2828" max="2828" width="7.109375" style="1073" customWidth="1"/>
    <col min="2829" max="2829" width="4.77734375" style="1073" customWidth="1"/>
    <col min="2830" max="2830" width="30.44140625" style="1073" customWidth="1"/>
    <col min="2831" max="2831" width="12.21875" style="1073" customWidth="1"/>
    <col min="2832" max="2832" width="12" style="1073" customWidth="1"/>
    <col min="2833" max="2833" width="4.44140625" style="1073" customWidth="1"/>
    <col min="2834" max="2834" width="10.109375" style="1073" customWidth="1"/>
    <col min="2835" max="2835" width="7.21875" style="1073" customWidth="1"/>
    <col min="2836" max="2836" width="13" style="1073" customWidth="1"/>
    <col min="2837" max="2837" width="4" style="1073" customWidth="1"/>
    <col min="2838" max="2838" width="27.5546875" style="1073" bestFit="1" customWidth="1"/>
    <col min="2839" max="2839" width="10.33203125" style="1073" customWidth="1"/>
    <col min="2840" max="2840" width="4.33203125" style="1073" customWidth="1"/>
    <col min="2841" max="2841" width="20.6640625" style="1073" customWidth="1"/>
    <col min="2842" max="2843" width="12.33203125" style="1073" customWidth="1"/>
    <col min="2844" max="2844" width="17.6640625" style="1073" customWidth="1"/>
    <col min="2845" max="2845" width="12.21875" style="1073" customWidth="1"/>
    <col min="2846" max="2847" width="15.109375" style="1073" customWidth="1"/>
    <col min="2848" max="2850" width="8.88671875" style="1073" customWidth="1"/>
    <col min="2851" max="2851" width="32" style="1073" customWidth="1"/>
    <col min="2852" max="2853" width="11.5546875" style="1073" customWidth="1"/>
    <col min="2854" max="2854" width="10.88671875" style="1073" customWidth="1"/>
    <col min="2855" max="2894" width="8.88671875" style="1073" customWidth="1"/>
    <col min="2895" max="3072" width="8.88671875" style="1073"/>
    <col min="3073" max="3073" width="8.88671875" style="1073" customWidth="1"/>
    <col min="3074" max="3074" width="2.88671875" style="1073" customWidth="1"/>
    <col min="3075" max="3075" width="5.21875" style="1073" customWidth="1"/>
    <col min="3076" max="3076" width="20.109375" style="1073" customWidth="1"/>
    <col min="3077" max="3077" width="10.6640625" style="1073" customWidth="1"/>
    <col min="3078" max="3078" width="11.5546875" style="1073" customWidth="1"/>
    <col min="3079" max="3079" width="4.33203125" style="1073" customWidth="1"/>
    <col min="3080" max="3080" width="14.88671875" style="1073" customWidth="1"/>
    <col min="3081" max="3081" width="9" style="1073" customWidth="1"/>
    <col min="3082" max="3082" width="4.77734375" style="1073" customWidth="1"/>
    <col min="3083" max="3083" width="6.21875" style="1073" customWidth="1"/>
    <col min="3084" max="3084" width="7.109375" style="1073" customWidth="1"/>
    <col min="3085" max="3085" width="4.77734375" style="1073" customWidth="1"/>
    <col min="3086" max="3086" width="30.44140625" style="1073" customWidth="1"/>
    <col min="3087" max="3087" width="12.21875" style="1073" customWidth="1"/>
    <col min="3088" max="3088" width="12" style="1073" customWidth="1"/>
    <col min="3089" max="3089" width="4.44140625" style="1073" customWidth="1"/>
    <col min="3090" max="3090" width="10.109375" style="1073" customWidth="1"/>
    <col min="3091" max="3091" width="7.21875" style="1073" customWidth="1"/>
    <col min="3092" max="3092" width="13" style="1073" customWidth="1"/>
    <col min="3093" max="3093" width="4" style="1073" customWidth="1"/>
    <col min="3094" max="3094" width="27.5546875" style="1073" bestFit="1" customWidth="1"/>
    <col min="3095" max="3095" width="10.33203125" style="1073" customWidth="1"/>
    <col min="3096" max="3096" width="4.33203125" style="1073" customWidth="1"/>
    <col min="3097" max="3097" width="20.6640625" style="1073" customWidth="1"/>
    <col min="3098" max="3099" width="12.33203125" style="1073" customWidth="1"/>
    <col min="3100" max="3100" width="17.6640625" style="1073" customWidth="1"/>
    <col min="3101" max="3101" width="12.21875" style="1073" customWidth="1"/>
    <col min="3102" max="3103" width="15.109375" style="1073" customWidth="1"/>
    <col min="3104" max="3106" width="8.88671875" style="1073" customWidth="1"/>
    <col min="3107" max="3107" width="32" style="1073" customWidth="1"/>
    <col min="3108" max="3109" width="11.5546875" style="1073" customWidth="1"/>
    <col min="3110" max="3110" width="10.88671875" style="1073" customWidth="1"/>
    <col min="3111" max="3150" width="8.88671875" style="1073" customWidth="1"/>
    <col min="3151" max="3328" width="8.88671875" style="1073"/>
    <col min="3329" max="3329" width="8.88671875" style="1073" customWidth="1"/>
    <col min="3330" max="3330" width="2.88671875" style="1073" customWidth="1"/>
    <col min="3331" max="3331" width="5.21875" style="1073" customWidth="1"/>
    <col min="3332" max="3332" width="20.109375" style="1073" customWidth="1"/>
    <col min="3333" max="3333" width="10.6640625" style="1073" customWidth="1"/>
    <col min="3334" max="3334" width="11.5546875" style="1073" customWidth="1"/>
    <col min="3335" max="3335" width="4.33203125" style="1073" customWidth="1"/>
    <col min="3336" max="3336" width="14.88671875" style="1073" customWidth="1"/>
    <col min="3337" max="3337" width="9" style="1073" customWidth="1"/>
    <col min="3338" max="3338" width="4.77734375" style="1073" customWidth="1"/>
    <col min="3339" max="3339" width="6.21875" style="1073" customWidth="1"/>
    <col min="3340" max="3340" width="7.109375" style="1073" customWidth="1"/>
    <col min="3341" max="3341" width="4.77734375" style="1073" customWidth="1"/>
    <col min="3342" max="3342" width="30.44140625" style="1073" customWidth="1"/>
    <col min="3343" max="3343" width="12.21875" style="1073" customWidth="1"/>
    <col min="3344" max="3344" width="12" style="1073" customWidth="1"/>
    <col min="3345" max="3345" width="4.44140625" style="1073" customWidth="1"/>
    <col min="3346" max="3346" width="10.109375" style="1073" customWidth="1"/>
    <col min="3347" max="3347" width="7.21875" style="1073" customWidth="1"/>
    <col min="3348" max="3348" width="13" style="1073" customWidth="1"/>
    <col min="3349" max="3349" width="4" style="1073" customWidth="1"/>
    <col min="3350" max="3350" width="27.5546875" style="1073" bestFit="1" customWidth="1"/>
    <col min="3351" max="3351" width="10.33203125" style="1073" customWidth="1"/>
    <col min="3352" max="3352" width="4.33203125" style="1073" customWidth="1"/>
    <col min="3353" max="3353" width="20.6640625" style="1073" customWidth="1"/>
    <col min="3354" max="3355" width="12.33203125" style="1073" customWidth="1"/>
    <col min="3356" max="3356" width="17.6640625" style="1073" customWidth="1"/>
    <col min="3357" max="3357" width="12.21875" style="1073" customWidth="1"/>
    <col min="3358" max="3359" width="15.109375" style="1073" customWidth="1"/>
    <col min="3360" max="3362" width="8.88671875" style="1073" customWidth="1"/>
    <col min="3363" max="3363" width="32" style="1073" customWidth="1"/>
    <col min="3364" max="3365" width="11.5546875" style="1073" customWidth="1"/>
    <col min="3366" max="3366" width="10.88671875" style="1073" customWidth="1"/>
    <col min="3367" max="3406" width="8.88671875" style="1073" customWidth="1"/>
    <col min="3407" max="3584" width="8.88671875" style="1073"/>
    <col min="3585" max="3585" width="8.88671875" style="1073" customWidth="1"/>
    <col min="3586" max="3586" width="2.88671875" style="1073" customWidth="1"/>
    <col min="3587" max="3587" width="5.21875" style="1073" customWidth="1"/>
    <col min="3588" max="3588" width="20.109375" style="1073" customWidth="1"/>
    <col min="3589" max="3589" width="10.6640625" style="1073" customWidth="1"/>
    <col min="3590" max="3590" width="11.5546875" style="1073" customWidth="1"/>
    <col min="3591" max="3591" width="4.33203125" style="1073" customWidth="1"/>
    <col min="3592" max="3592" width="14.88671875" style="1073" customWidth="1"/>
    <col min="3593" max="3593" width="9" style="1073" customWidth="1"/>
    <col min="3594" max="3594" width="4.77734375" style="1073" customWidth="1"/>
    <col min="3595" max="3595" width="6.21875" style="1073" customWidth="1"/>
    <col min="3596" max="3596" width="7.109375" style="1073" customWidth="1"/>
    <col min="3597" max="3597" width="4.77734375" style="1073" customWidth="1"/>
    <col min="3598" max="3598" width="30.44140625" style="1073" customWidth="1"/>
    <col min="3599" max="3599" width="12.21875" style="1073" customWidth="1"/>
    <col min="3600" max="3600" width="12" style="1073" customWidth="1"/>
    <col min="3601" max="3601" width="4.44140625" style="1073" customWidth="1"/>
    <col min="3602" max="3602" width="10.109375" style="1073" customWidth="1"/>
    <col min="3603" max="3603" width="7.21875" style="1073" customWidth="1"/>
    <col min="3604" max="3604" width="13" style="1073" customWidth="1"/>
    <col min="3605" max="3605" width="4" style="1073" customWidth="1"/>
    <col min="3606" max="3606" width="27.5546875" style="1073" bestFit="1" customWidth="1"/>
    <col min="3607" max="3607" width="10.33203125" style="1073" customWidth="1"/>
    <col min="3608" max="3608" width="4.33203125" style="1073" customWidth="1"/>
    <col min="3609" max="3609" width="20.6640625" style="1073" customWidth="1"/>
    <col min="3610" max="3611" width="12.33203125" style="1073" customWidth="1"/>
    <col min="3612" max="3612" width="17.6640625" style="1073" customWidth="1"/>
    <col min="3613" max="3613" width="12.21875" style="1073" customWidth="1"/>
    <col min="3614" max="3615" width="15.109375" style="1073" customWidth="1"/>
    <col min="3616" max="3618" width="8.88671875" style="1073" customWidth="1"/>
    <col min="3619" max="3619" width="32" style="1073" customWidth="1"/>
    <col min="3620" max="3621" width="11.5546875" style="1073" customWidth="1"/>
    <col min="3622" max="3622" width="10.88671875" style="1073" customWidth="1"/>
    <col min="3623" max="3662" width="8.88671875" style="1073" customWidth="1"/>
    <col min="3663" max="3840" width="8.88671875" style="1073"/>
    <col min="3841" max="3841" width="8.88671875" style="1073" customWidth="1"/>
    <col min="3842" max="3842" width="2.88671875" style="1073" customWidth="1"/>
    <col min="3843" max="3843" width="5.21875" style="1073" customWidth="1"/>
    <col min="3844" max="3844" width="20.109375" style="1073" customWidth="1"/>
    <col min="3845" max="3845" width="10.6640625" style="1073" customWidth="1"/>
    <col min="3846" max="3846" width="11.5546875" style="1073" customWidth="1"/>
    <col min="3847" max="3847" width="4.33203125" style="1073" customWidth="1"/>
    <col min="3848" max="3848" width="14.88671875" style="1073" customWidth="1"/>
    <col min="3849" max="3849" width="9" style="1073" customWidth="1"/>
    <col min="3850" max="3850" width="4.77734375" style="1073" customWidth="1"/>
    <col min="3851" max="3851" width="6.21875" style="1073" customWidth="1"/>
    <col min="3852" max="3852" width="7.109375" style="1073" customWidth="1"/>
    <col min="3853" max="3853" width="4.77734375" style="1073" customWidth="1"/>
    <col min="3854" max="3854" width="30.44140625" style="1073" customWidth="1"/>
    <col min="3855" max="3855" width="12.21875" style="1073" customWidth="1"/>
    <col min="3856" max="3856" width="12" style="1073" customWidth="1"/>
    <col min="3857" max="3857" width="4.44140625" style="1073" customWidth="1"/>
    <col min="3858" max="3858" width="10.109375" style="1073" customWidth="1"/>
    <col min="3859" max="3859" width="7.21875" style="1073" customWidth="1"/>
    <col min="3860" max="3860" width="13" style="1073" customWidth="1"/>
    <col min="3861" max="3861" width="4" style="1073" customWidth="1"/>
    <col min="3862" max="3862" width="27.5546875" style="1073" bestFit="1" customWidth="1"/>
    <col min="3863" max="3863" width="10.33203125" style="1073" customWidth="1"/>
    <col min="3864" max="3864" width="4.33203125" style="1073" customWidth="1"/>
    <col min="3865" max="3865" width="20.6640625" style="1073" customWidth="1"/>
    <col min="3866" max="3867" width="12.33203125" style="1073" customWidth="1"/>
    <col min="3868" max="3868" width="17.6640625" style="1073" customWidth="1"/>
    <col min="3869" max="3869" width="12.21875" style="1073" customWidth="1"/>
    <col min="3870" max="3871" width="15.109375" style="1073" customWidth="1"/>
    <col min="3872" max="3874" width="8.88671875" style="1073" customWidth="1"/>
    <col min="3875" max="3875" width="32" style="1073" customWidth="1"/>
    <col min="3876" max="3877" width="11.5546875" style="1073" customWidth="1"/>
    <col min="3878" max="3878" width="10.88671875" style="1073" customWidth="1"/>
    <col min="3879" max="3918" width="8.88671875" style="1073" customWidth="1"/>
    <col min="3919" max="4096" width="8.88671875" style="1073"/>
    <col min="4097" max="4097" width="8.88671875" style="1073" customWidth="1"/>
    <col min="4098" max="4098" width="2.88671875" style="1073" customWidth="1"/>
    <col min="4099" max="4099" width="5.21875" style="1073" customWidth="1"/>
    <col min="4100" max="4100" width="20.109375" style="1073" customWidth="1"/>
    <col min="4101" max="4101" width="10.6640625" style="1073" customWidth="1"/>
    <col min="4102" max="4102" width="11.5546875" style="1073" customWidth="1"/>
    <col min="4103" max="4103" width="4.33203125" style="1073" customWidth="1"/>
    <col min="4104" max="4104" width="14.88671875" style="1073" customWidth="1"/>
    <col min="4105" max="4105" width="9" style="1073" customWidth="1"/>
    <col min="4106" max="4106" width="4.77734375" style="1073" customWidth="1"/>
    <col min="4107" max="4107" width="6.21875" style="1073" customWidth="1"/>
    <col min="4108" max="4108" width="7.109375" style="1073" customWidth="1"/>
    <col min="4109" max="4109" width="4.77734375" style="1073" customWidth="1"/>
    <col min="4110" max="4110" width="30.44140625" style="1073" customWidth="1"/>
    <col min="4111" max="4111" width="12.21875" style="1073" customWidth="1"/>
    <col min="4112" max="4112" width="12" style="1073" customWidth="1"/>
    <col min="4113" max="4113" width="4.44140625" style="1073" customWidth="1"/>
    <col min="4114" max="4114" width="10.109375" style="1073" customWidth="1"/>
    <col min="4115" max="4115" width="7.21875" style="1073" customWidth="1"/>
    <col min="4116" max="4116" width="13" style="1073" customWidth="1"/>
    <col min="4117" max="4117" width="4" style="1073" customWidth="1"/>
    <col min="4118" max="4118" width="27.5546875" style="1073" bestFit="1" customWidth="1"/>
    <col min="4119" max="4119" width="10.33203125" style="1073" customWidth="1"/>
    <col min="4120" max="4120" width="4.33203125" style="1073" customWidth="1"/>
    <col min="4121" max="4121" width="20.6640625" style="1073" customWidth="1"/>
    <col min="4122" max="4123" width="12.33203125" style="1073" customWidth="1"/>
    <col min="4124" max="4124" width="17.6640625" style="1073" customWidth="1"/>
    <col min="4125" max="4125" width="12.21875" style="1073" customWidth="1"/>
    <col min="4126" max="4127" width="15.109375" style="1073" customWidth="1"/>
    <col min="4128" max="4130" width="8.88671875" style="1073" customWidth="1"/>
    <col min="4131" max="4131" width="32" style="1073" customWidth="1"/>
    <col min="4132" max="4133" width="11.5546875" style="1073" customWidth="1"/>
    <col min="4134" max="4134" width="10.88671875" style="1073" customWidth="1"/>
    <col min="4135" max="4174" width="8.88671875" style="1073" customWidth="1"/>
    <col min="4175" max="4352" width="8.88671875" style="1073"/>
    <col min="4353" max="4353" width="8.88671875" style="1073" customWidth="1"/>
    <col min="4354" max="4354" width="2.88671875" style="1073" customWidth="1"/>
    <col min="4355" max="4355" width="5.21875" style="1073" customWidth="1"/>
    <col min="4356" max="4356" width="20.109375" style="1073" customWidth="1"/>
    <col min="4357" max="4357" width="10.6640625" style="1073" customWidth="1"/>
    <col min="4358" max="4358" width="11.5546875" style="1073" customWidth="1"/>
    <col min="4359" max="4359" width="4.33203125" style="1073" customWidth="1"/>
    <col min="4360" max="4360" width="14.88671875" style="1073" customWidth="1"/>
    <col min="4361" max="4361" width="9" style="1073" customWidth="1"/>
    <col min="4362" max="4362" width="4.77734375" style="1073" customWidth="1"/>
    <col min="4363" max="4363" width="6.21875" style="1073" customWidth="1"/>
    <col min="4364" max="4364" width="7.109375" style="1073" customWidth="1"/>
    <col min="4365" max="4365" width="4.77734375" style="1073" customWidth="1"/>
    <col min="4366" max="4366" width="30.44140625" style="1073" customWidth="1"/>
    <col min="4367" max="4367" width="12.21875" style="1073" customWidth="1"/>
    <col min="4368" max="4368" width="12" style="1073" customWidth="1"/>
    <col min="4369" max="4369" width="4.44140625" style="1073" customWidth="1"/>
    <col min="4370" max="4370" width="10.109375" style="1073" customWidth="1"/>
    <col min="4371" max="4371" width="7.21875" style="1073" customWidth="1"/>
    <col min="4372" max="4372" width="13" style="1073" customWidth="1"/>
    <col min="4373" max="4373" width="4" style="1073" customWidth="1"/>
    <col min="4374" max="4374" width="27.5546875" style="1073" bestFit="1" customWidth="1"/>
    <col min="4375" max="4375" width="10.33203125" style="1073" customWidth="1"/>
    <col min="4376" max="4376" width="4.33203125" style="1073" customWidth="1"/>
    <col min="4377" max="4377" width="20.6640625" style="1073" customWidth="1"/>
    <col min="4378" max="4379" width="12.33203125" style="1073" customWidth="1"/>
    <col min="4380" max="4380" width="17.6640625" style="1073" customWidth="1"/>
    <col min="4381" max="4381" width="12.21875" style="1073" customWidth="1"/>
    <col min="4382" max="4383" width="15.109375" style="1073" customWidth="1"/>
    <col min="4384" max="4386" width="8.88671875" style="1073" customWidth="1"/>
    <col min="4387" max="4387" width="32" style="1073" customWidth="1"/>
    <col min="4388" max="4389" width="11.5546875" style="1073" customWidth="1"/>
    <col min="4390" max="4390" width="10.88671875" style="1073" customWidth="1"/>
    <col min="4391" max="4430" width="8.88671875" style="1073" customWidth="1"/>
    <col min="4431" max="4608" width="8.88671875" style="1073"/>
    <col min="4609" max="4609" width="8.88671875" style="1073" customWidth="1"/>
    <col min="4610" max="4610" width="2.88671875" style="1073" customWidth="1"/>
    <col min="4611" max="4611" width="5.21875" style="1073" customWidth="1"/>
    <col min="4612" max="4612" width="20.109375" style="1073" customWidth="1"/>
    <col min="4613" max="4613" width="10.6640625" style="1073" customWidth="1"/>
    <col min="4614" max="4614" width="11.5546875" style="1073" customWidth="1"/>
    <col min="4615" max="4615" width="4.33203125" style="1073" customWidth="1"/>
    <col min="4616" max="4616" width="14.88671875" style="1073" customWidth="1"/>
    <col min="4617" max="4617" width="9" style="1073" customWidth="1"/>
    <col min="4618" max="4618" width="4.77734375" style="1073" customWidth="1"/>
    <col min="4619" max="4619" width="6.21875" style="1073" customWidth="1"/>
    <col min="4620" max="4620" width="7.109375" style="1073" customWidth="1"/>
    <col min="4621" max="4621" width="4.77734375" style="1073" customWidth="1"/>
    <col min="4622" max="4622" width="30.44140625" style="1073" customWidth="1"/>
    <col min="4623" max="4623" width="12.21875" style="1073" customWidth="1"/>
    <col min="4624" max="4624" width="12" style="1073" customWidth="1"/>
    <col min="4625" max="4625" width="4.44140625" style="1073" customWidth="1"/>
    <col min="4626" max="4626" width="10.109375" style="1073" customWidth="1"/>
    <col min="4627" max="4627" width="7.21875" style="1073" customWidth="1"/>
    <col min="4628" max="4628" width="13" style="1073" customWidth="1"/>
    <col min="4629" max="4629" width="4" style="1073" customWidth="1"/>
    <col min="4630" max="4630" width="27.5546875" style="1073" bestFit="1" customWidth="1"/>
    <col min="4631" max="4631" width="10.33203125" style="1073" customWidth="1"/>
    <col min="4632" max="4632" width="4.33203125" style="1073" customWidth="1"/>
    <col min="4633" max="4633" width="20.6640625" style="1073" customWidth="1"/>
    <col min="4634" max="4635" width="12.33203125" style="1073" customWidth="1"/>
    <col min="4636" max="4636" width="17.6640625" style="1073" customWidth="1"/>
    <col min="4637" max="4637" width="12.21875" style="1073" customWidth="1"/>
    <col min="4638" max="4639" width="15.109375" style="1073" customWidth="1"/>
    <col min="4640" max="4642" width="8.88671875" style="1073" customWidth="1"/>
    <col min="4643" max="4643" width="32" style="1073" customWidth="1"/>
    <col min="4644" max="4645" width="11.5546875" style="1073" customWidth="1"/>
    <col min="4646" max="4646" width="10.88671875" style="1073" customWidth="1"/>
    <col min="4647" max="4686" width="8.88671875" style="1073" customWidth="1"/>
    <col min="4687" max="4864" width="8.88671875" style="1073"/>
    <col min="4865" max="4865" width="8.88671875" style="1073" customWidth="1"/>
    <col min="4866" max="4866" width="2.88671875" style="1073" customWidth="1"/>
    <col min="4867" max="4867" width="5.21875" style="1073" customWidth="1"/>
    <col min="4868" max="4868" width="20.109375" style="1073" customWidth="1"/>
    <col min="4869" max="4869" width="10.6640625" style="1073" customWidth="1"/>
    <col min="4870" max="4870" width="11.5546875" style="1073" customWidth="1"/>
    <col min="4871" max="4871" width="4.33203125" style="1073" customWidth="1"/>
    <col min="4872" max="4872" width="14.88671875" style="1073" customWidth="1"/>
    <col min="4873" max="4873" width="9" style="1073" customWidth="1"/>
    <col min="4874" max="4874" width="4.77734375" style="1073" customWidth="1"/>
    <col min="4875" max="4875" width="6.21875" style="1073" customWidth="1"/>
    <col min="4876" max="4876" width="7.109375" style="1073" customWidth="1"/>
    <col min="4877" max="4877" width="4.77734375" style="1073" customWidth="1"/>
    <col min="4878" max="4878" width="30.44140625" style="1073" customWidth="1"/>
    <col min="4879" max="4879" width="12.21875" style="1073" customWidth="1"/>
    <col min="4880" max="4880" width="12" style="1073" customWidth="1"/>
    <col min="4881" max="4881" width="4.44140625" style="1073" customWidth="1"/>
    <col min="4882" max="4882" width="10.109375" style="1073" customWidth="1"/>
    <col min="4883" max="4883" width="7.21875" style="1073" customWidth="1"/>
    <col min="4884" max="4884" width="13" style="1073" customWidth="1"/>
    <col min="4885" max="4885" width="4" style="1073" customWidth="1"/>
    <col min="4886" max="4886" width="27.5546875" style="1073" bestFit="1" customWidth="1"/>
    <col min="4887" max="4887" width="10.33203125" style="1073" customWidth="1"/>
    <col min="4888" max="4888" width="4.33203125" style="1073" customWidth="1"/>
    <col min="4889" max="4889" width="20.6640625" style="1073" customWidth="1"/>
    <col min="4890" max="4891" width="12.33203125" style="1073" customWidth="1"/>
    <col min="4892" max="4892" width="17.6640625" style="1073" customWidth="1"/>
    <col min="4893" max="4893" width="12.21875" style="1073" customWidth="1"/>
    <col min="4894" max="4895" width="15.109375" style="1073" customWidth="1"/>
    <col min="4896" max="4898" width="8.88671875" style="1073" customWidth="1"/>
    <col min="4899" max="4899" width="32" style="1073" customWidth="1"/>
    <col min="4900" max="4901" width="11.5546875" style="1073" customWidth="1"/>
    <col min="4902" max="4902" width="10.88671875" style="1073" customWidth="1"/>
    <col min="4903" max="4942" width="8.88671875" style="1073" customWidth="1"/>
    <col min="4943" max="5120" width="8.88671875" style="1073"/>
    <col min="5121" max="5121" width="8.88671875" style="1073" customWidth="1"/>
    <col min="5122" max="5122" width="2.88671875" style="1073" customWidth="1"/>
    <col min="5123" max="5123" width="5.21875" style="1073" customWidth="1"/>
    <col min="5124" max="5124" width="20.109375" style="1073" customWidth="1"/>
    <col min="5125" max="5125" width="10.6640625" style="1073" customWidth="1"/>
    <col min="5126" max="5126" width="11.5546875" style="1073" customWidth="1"/>
    <col min="5127" max="5127" width="4.33203125" style="1073" customWidth="1"/>
    <col min="5128" max="5128" width="14.88671875" style="1073" customWidth="1"/>
    <col min="5129" max="5129" width="9" style="1073" customWidth="1"/>
    <col min="5130" max="5130" width="4.77734375" style="1073" customWidth="1"/>
    <col min="5131" max="5131" width="6.21875" style="1073" customWidth="1"/>
    <col min="5132" max="5132" width="7.109375" style="1073" customWidth="1"/>
    <col min="5133" max="5133" width="4.77734375" style="1073" customWidth="1"/>
    <col min="5134" max="5134" width="30.44140625" style="1073" customWidth="1"/>
    <col min="5135" max="5135" width="12.21875" style="1073" customWidth="1"/>
    <col min="5136" max="5136" width="12" style="1073" customWidth="1"/>
    <col min="5137" max="5137" width="4.44140625" style="1073" customWidth="1"/>
    <col min="5138" max="5138" width="10.109375" style="1073" customWidth="1"/>
    <col min="5139" max="5139" width="7.21875" style="1073" customWidth="1"/>
    <col min="5140" max="5140" width="13" style="1073" customWidth="1"/>
    <col min="5141" max="5141" width="4" style="1073" customWidth="1"/>
    <col min="5142" max="5142" width="27.5546875" style="1073" bestFit="1" customWidth="1"/>
    <col min="5143" max="5143" width="10.33203125" style="1073" customWidth="1"/>
    <col min="5144" max="5144" width="4.33203125" style="1073" customWidth="1"/>
    <col min="5145" max="5145" width="20.6640625" style="1073" customWidth="1"/>
    <col min="5146" max="5147" width="12.33203125" style="1073" customWidth="1"/>
    <col min="5148" max="5148" width="17.6640625" style="1073" customWidth="1"/>
    <col min="5149" max="5149" width="12.21875" style="1073" customWidth="1"/>
    <col min="5150" max="5151" width="15.109375" style="1073" customWidth="1"/>
    <col min="5152" max="5154" width="8.88671875" style="1073" customWidth="1"/>
    <col min="5155" max="5155" width="32" style="1073" customWidth="1"/>
    <col min="5156" max="5157" width="11.5546875" style="1073" customWidth="1"/>
    <col min="5158" max="5158" width="10.88671875" style="1073" customWidth="1"/>
    <col min="5159" max="5198" width="8.88671875" style="1073" customWidth="1"/>
    <col min="5199" max="5376" width="8.88671875" style="1073"/>
    <col min="5377" max="5377" width="8.88671875" style="1073" customWidth="1"/>
    <col min="5378" max="5378" width="2.88671875" style="1073" customWidth="1"/>
    <col min="5379" max="5379" width="5.21875" style="1073" customWidth="1"/>
    <col min="5380" max="5380" width="20.109375" style="1073" customWidth="1"/>
    <col min="5381" max="5381" width="10.6640625" style="1073" customWidth="1"/>
    <col min="5382" max="5382" width="11.5546875" style="1073" customWidth="1"/>
    <col min="5383" max="5383" width="4.33203125" style="1073" customWidth="1"/>
    <col min="5384" max="5384" width="14.88671875" style="1073" customWidth="1"/>
    <col min="5385" max="5385" width="9" style="1073" customWidth="1"/>
    <col min="5386" max="5386" width="4.77734375" style="1073" customWidth="1"/>
    <col min="5387" max="5387" width="6.21875" style="1073" customWidth="1"/>
    <col min="5388" max="5388" width="7.109375" style="1073" customWidth="1"/>
    <col min="5389" max="5389" width="4.77734375" style="1073" customWidth="1"/>
    <col min="5390" max="5390" width="30.44140625" style="1073" customWidth="1"/>
    <col min="5391" max="5391" width="12.21875" style="1073" customWidth="1"/>
    <col min="5392" max="5392" width="12" style="1073" customWidth="1"/>
    <col min="5393" max="5393" width="4.44140625" style="1073" customWidth="1"/>
    <col min="5394" max="5394" width="10.109375" style="1073" customWidth="1"/>
    <col min="5395" max="5395" width="7.21875" style="1073" customWidth="1"/>
    <col min="5396" max="5396" width="13" style="1073" customWidth="1"/>
    <col min="5397" max="5397" width="4" style="1073" customWidth="1"/>
    <col min="5398" max="5398" width="27.5546875" style="1073" bestFit="1" customWidth="1"/>
    <col min="5399" max="5399" width="10.33203125" style="1073" customWidth="1"/>
    <col min="5400" max="5400" width="4.33203125" style="1073" customWidth="1"/>
    <col min="5401" max="5401" width="20.6640625" style="1073" customWidth="1"/>
    <col min="5402" max="5403" width="12.33203125" style="1073" customWidth="1"/>
    <col min="5404" max="5404" width="17.6640625" style="1073" customWidth="1"/>
    <col min="5405" max="5405" width="12.21875" style="1073" customWidth="1"/>
    <col min="5406" max="5407" width="15.109375" style="1073" customWidth="1"/>
    <col min="5408" max="5410" width="8.88671875" style="1073" customWidth="1"/>
    <col min="5411" max="5411" width="32" style="1073" customWidth="1"/>
    <col min="5412" max="5413" width="11.5546875" style="1073" customWidth="1"/>
    <col min="5414" max="5414" width="10.88671875" style="1073" customWidth="1"/>
    <col min="5415" max="5454" width="8.88671875" style="1073" customWidth="1"/>
    <col min="5455" max="5632" width="8.88671875" style="1073"/>
    <col min="5633" max="5633" width="8.88671875" style="1073" customWidth="1"/>
    <col min="5634" max="5634" width="2.88671875" style="1073" customWidth="1"/>
    <col min="5635" max="5635" width="5.21875" style="1073" customWidth="1"/>
    <col min="5636" max="5636" width="20.109375" style="1073" customWidth="1"/>
    <col min="5637" max="5637" width="10.6640625" style="1073" customWidth="1"/>
    <col min="5638" max="5638" width="11.5546875" style="1073" customWidth="1"/>
    <col min="5639" max="5639" width="4.33203125" style="1073" customWidth="1"/>
    <col min="5640" max="5640" width="14.88671875" style="1073" customWidth="1"/>
    <col min="5641" max="5641" width="9" style="1073" customWidth="1"/>
    <col min="5642" max="5642" width="4.77734375" style="1073" customWidth="1"/>
    <col min="5643" max="5643" width="6.21875" style="1073" customWidth="1"/>
    <col min="5644" max="5644" width="7.109375" style="1073" customWidth="1"/>
    <col min="5645" max="5645" width="4.77734375" style="1073" customWidth="1"/>
    <col min="5646" max="5646" width="30.44140625" style="1073" customWidth="1"/>
    <col min="5647" max="5647" width="12.21875" style="1073" customWidth="1"/>
    <col min="5648" max="5648" width="12" style="1073" customWidth="1"/>
    <col min="5649" max="5649" width="4.44140625" style="1073" customWidth="1"/>
    <col min="5650" max="5650" width="10.109375" style="1073" customWidth="1"/>
    <col min="5651" max="5651" width="7.21875" style="1073" customWidth="1"/>
    <col min="5652" max="5652" width="13" style="1073" customWidth="1"/>
    <col min="5653" max="5653" width="4" style="1073" customWidth="1"/>
    <col min="5654" max="5654" width="27.5546875" style="1073" bestFit="1" customWidth="1"/>
    <col min="5655" max="5655" width="10.33203125" style="1073" customWidth="1"/>
    <col min="5656" max="5656" width="4.33203125" style="1073" customWidth="1"/>
    <col min="5657" max="5657" width="20.6640625" style="1073" customWidth="1"/>
    <col min="5658" max="5659" width="12.33203125" style="1073" customWidth="1"/>
    <col min="5660" max="5660" width="17.6640625" style="1073" customWidth="1"/>
    <col min="5661" max="5661" width="12.21875" style="1073" customWidth="1"/>
    <col min="5662" max="5663" width="15.109375" style="1073" customWidth="1"/>
    <col min="5664" max="5666" width="8.88671875" style="1073" customWidth="1"/>
    <col min="5667" max="5667" width="32" style="1073" customWidth="1"/>
    <col min="5668" max="5669" width="11.5546875" style="1073" customWidth="1"/>
    <col min="5670" max="5670" width="10.88671875" style="1073" customWidth="1"/>
    <col min="5671" max="5710" width="8.88671875" style="1073" customWidth="1"/>
    <col min="5711" max="5888" width="8.88671875" style="1073"/>
    <col min="5889" max="5889" width="8.88671875" style="1073" customWidth="1"/>
    <col min="5890" max="5890" width="2.88671875" style="1073" customWidth="1"/>
    <col min="5891" max="5891" width="5.21875" style="1073" customWidth="1"/>
    <col min="5892" max="5892" width="20.109375" style="1073" customWidth="1"/>
    <col min="5893" max="5893" width="10.6640625" style="1073" customWidth="1"/>
    <col min="5894" max="5894" width="11.5546875" style="1073" customWidth="1"/>
    <col min="5895" max="5895" width="4.33203125" style="1073" customWidth="1"/>
    <col min="5896" max="5896" width="14.88671875" style="1073" customWidth="1"/>
    <col min="5897" max="5897" width="9" style="1073" customWidth="1"/>
    <col min="5898" max="5898" width="4.77734375" style="1073" customWidth="1"/>
    <col min="5899" max="5899" width="6.21875" style="1073" customWidth="1"/>
    <col min="5900" max="5900" width="7.109375" style="1073" customWidth="1"/>
    <col min="5901" max="5901" width="4.77734375" style="1073" customWidth="1"/>
    <col min="5902" max="5902" width="30.44140625" style="1073" customWidth="1"/>
    <col min="5903" max="5903" width="12.21875" style="1073" customWidth="1"/>
    <col min="5904" max="5904" width="12" style="1073" customWidth="1"/>
    <col min="5905" max="5905" width="4.44140625" style="1073" customWidth="1"/>
    <col min="5906" max="5906" width="10.109375" style="1073" customWidth="1"/>
    <col min="5907" max="5907" width="7.21875" style="1073" customWidth="1"/>
    <col min="5908" max="5908" width="13" style="1073" customWidth="1"/>
    <col min="5909" max="5909" width="4" style="1073" customWidth="1"/>
    <col min="5910" max="5910" width="27.5546875" style="1073" bestFit="1" customWidth="1"/>
    <col min="5911" max="5911" width="10.33203125" style="1073" customWidth="1"/>
    <col min="5912" max="5912" width="4.33203125" style="1073" customWidth="1"/>
    <col min="5913" max="5913" width="20.6640625" style="1073" customWidth="1"/>
    <col min="5914" max="5915" width="12.33203125" style="1073" customWidth="1"/>
    <col min="5916" max="5916" width="17.6640625" style="1073" customWidth="1"/>
    <col min="5917" max="5917" width="12.21875" style="1073" customWidth="1"/>
    <col min="5918" max="5919" width="15.109375" style="1073" customWidth="1"/>
    <col min="5920" max="5922" width="8.88671875" style="1073" customWidth="1"/>
    <col min="5923" max="5923" width="32" style="1073" customWidth="1"/>
    <col min="5924" max="5925" width="11.5546875" style="1073" customWidth="1"/>
    <col min="5926" max="5926" width="10.88671875" style="1073" customWidth="1"/>
    <col min="5927" max="5966" width="8.88671875" style="1073" customWidth="1"/>
    <col min="5967" max="6144" width="8.88671875" style="1073"/>
    <col min="6145" max="6145" width="8.88671875" style="1073" customWidth="1"/>
    <col min="6146" max="6146" width="2.88671875" style="1073" customWidth="1"/>
    <col min="6147" max="6147" width="5.21875" style="1073" customWidth="1"/>
    <col min="6148" max="6148" width="20.109375" style="1073" customWidth="1"/>
    <col min="6149" max="6149" width="10.6640625" style="1073" customWidth="1"/>
    <col min="6150" max="6150" width="11.5546875" style="1073" customWidth="1"/>
    <col min="6151" max="6151" width="4.33203125" style="1073" customWidth="1"/>
    <col min="6152" max="6152" width="14.88671875" style="1073" customWidth="1"/>
    <col min="6153" max="6153" width="9" style="1073" customWidth="1"/>
    <col min="6154" max="6154" width="4.77734375" style="1073" customWidth="1"/>
    <col min="6155" max="6155" width="6.21875" style="1073" customWidth="1"/>
    <col min="6156" max="6156" width="7.109375" style="1073" customWidth="1"/>
    <col min="6157" max="6157" width="4.77734375" style="1073" customWidth="1"/>
    <col min="6158" max="6158" width="30.44140625" style="1073" customWidth="1"/>
    <col min="6159" max="6159" width="12.21875" style="1073" customWidth="1"/>
    <col min="6160" max="6160" width="12" style="1073" customWidth="1"/>
    <col min="6161" max="6161" width="4.44140625" style="1073" customWidth="1"/>
    <col min="6162" max="6162" width="10.109375" style="1073" customWidth="1"/>
    <col min="6163" max="6163" width="7.21875" style="1073" customWidth="1"/>
    <col min="6164" max="6164" width="13" style="1073" customWidth="1"/>
    <col min="6165" max="6165" width="4" style="1073" customWidth="1"/>
    <col min="6166" max="6166" width="27.5546875" style="1073" bestFit="1" customWidth="1"/>
    <col min="6167" max="6167" width="10.33203125" style="1073" customWidth="1"/>
    <col min="6168" max="6168" width="4.33203125" style="1073" customWidth="1"/>
    <col min="6169" max="6169" width="20.6640625" style="1073" customWidth="1"/>
    <col min="6170" max="6171" width="12.33203125" style="1073" customWidth="1"/>
    <col min="6172" max="6172" width="17.6640625" style="1073" customWidth="1"/>
    <col min="6173" max="6173" width="12.21875" style="1073" customWidth="1"/>
    <col min="6174" max="6175" width="15.109375" style="1073" customWidth="1"/>
    <col min="6176" max="6178" width="8.88671875" style="1073" customWidth="1"/>
    <col min="6179" max="6179" width="32" style="1073" customWidth="1"/>
    <col min="6180" max="6181" width="11.5546875" style="1073" customWidth="1"/>
    <col min="6182" max="6182" width="10.88671875" style="1073" customWidth="1"/>
    <col min="6183" max="6222" width="8.88671875" style="1073" customWidth="1"/>
    <col min="6223" max="6400" width="8.88671875" style="1073"/>
    <col min="6401" max="6401" width="8.88671875" style="1073" customWidth="1"/>
    <col min="6402" max="6402" width="2.88671875" style="1073" customWidth="1"/>
    <col min="6403" max="6403" width="5.21875" style="1073" customWidth="1"/>
    <col min="6404" max="6404" width="20.109375" style="1073" customWidth="1"/>
    <col min="6405" max="6405" width="10.6640625" style="1073" customWidth="1"/>
    <col min="6406" max="6406" width="11.5546875" style="1073" customWidth="1"/>
    <col min="6407" max="6407" width="4.33203125" style="1073" customWidth="1"/>
    <col min="6408" max="6408" width="14.88671875" style="1073" customWidth="1"/>
    <col min="6409" max="6409" width="9" style="1073" customWidth="1"/>
    <col min="6410" max="6410" width="4.77734375" style="1073" customWidth="1"/>
    <col min="6411" max="6411" width="6.21875" style="1073" customWidth="1"/>
    <col min="6412" max="6412" width="7.109375" style="1073" customWidth="1"/>
    <col min="6413" max="6413" width="4.77734375" style="1073" customWidth="1"/>
    <col min="6414" max="6414" width="30.44140625" style="1073" customWidth="1"/>
    <col min="6415" max="6415" width="12.21875" style="1073" customWidth="1"/>
    <col min="6416" max="6416" width="12" style="1073" customWidth="1"/>
    <col min="6417" max="6417" width="4.44140625" style="1073" customWidth="1"/>
    <col min="6418" max="6418" width="10.109375" style="1073" customWidth="1"/>
    <col min="6419" max="6419" width="7.21875" style="1073" customWidth="1"/>
    <col min="6420" max="6420" width="13" style="1073" customWidth="1"/>
    <col min="6421" max="6421" width="4" style="1073" customWidth="1"/>
    <col min="6422" max="6422" width="27.5546875" style="1073" bestFit="1" customWidth="1"/>
    <col min="6423" max="6423" width="10.33203125" style="1073" customWidth="1"/>
    <col min="6424" max="6424" width="4.33203125" style="1073" customWidth="1"/>
    <col min="6425" max="6425" width="20.6640625" style="1073" customWidth="1"/>
    <col min="6426" max="6427" width="12.33203125" style="1073" customWidth="1"/>
    <col min="6428" max="6428" width="17.6640625" style="1073" customWidth="1"/>
    <col min="6429" max="6429" width="12.21875" style="1073" customWidth="1"/>
    <col min="6430" max="6431" width="15.109375" style="1073" customWidth="1"/>
    <col min="6432" max="6434" width="8.88671875" style="1073" customWidth="1"/>
    <col min="6435" max="6435" width="32" style="1073" customWidth="1"/>
    <col min="6436" max="6437" width="11.5546875" style="1073" customWidth="1"/>
    <col min="6438" max="6438" width="10.88671875" style="1073" customWidth="1"/>
    <col min="6439" max="6478" width="8.88671875" style="1073" customWidth="1"/>
    <col min="6479" max="6656" width="8.88671875" style="1073"/>
    <col min="6657" max="6657" width="8.88671875" style="1073" customWidth="1"/>
    <col min="6658" max="6658" width="2.88671875" style="1073" customWidth="1"/>
    <col min="6659" max="6659" width="5.21875" style="1073" customWidth="1"/>
    <col min="6660" max="6660" width="20.109375" style="1073" customWidth="1"/>
    <col min="6661" max="6661" width="10.6640625" style="1073" customWidth="1"/>
    <col min="6662" max="6662" width="11.5546875" style="1073" customWidth="1"/>
    <col min="6663" max="6663" width="4.33203125" style="1073" customWidth="1"/>
    <col min="6664" max="6664" width="14.88671875" style="1073" customWidth="1"/>
    <col min="6665" max="6665" width="9" style="1073" customWidth="1"/>
    <col min="6666" max="6666" width="4.77734375" style="1073" customWidth="1"/>
    <col min="6667" max="6667" width="6.21875" style="1073" customWidth="1"/>
    <col min="6668" max="6668" width="7.109375" style="1073" customWidth="1"/>
    <col min="6669" max="6669" width="4.77734375" style="1073" customWidth="1"/>
    <col min="6670" max="6670" width="30.44140625" style="1073" customWidth="1"/>
    <col min="6671" max="6671" width="12.21875" style="1073" customWidth="1"/>
    <col min="6672" max="6672" width="12" style="1073" customWidth="1"/>
    <col min="6673" max="6673" width="4.44140625" style="1073" customWidth="1"/>
    <col min="6674" max="6674" width="10.109375" style="1073" customWidth="1"/>
    <col min="6675" max="6675" width="7.21875" style="1073" customWidth="1"/>
    <col min="6676" max="6676" width="13" style="1073" customWidth="1"/>
    <col min="6677" max="6677" width="4" style="1073" customWidth="1"/>
    <col min="6678" max="6678" width="27.5546875" style="1073" bestFit="1" customWidth="1"/>
    <col min="6679" max="6679" width="10.33203125" style="1073" customWidth="1"/>
    <col min="6680" max="6680" width="4.33203125" style="1073" customWidth="1"/>
    <col min="6681" max="6681" width="20.6640625" style="1073" customWidth="1"/>
    <col min="6682" max="6683" width="12.33203125" style="1073" customWidth="1"/>
    <col min="6684" max="6684" width="17.6640625" style="1073" customWidth="1"/>
    <col min="6685" max="6685" width="12.21875" style="1073" customWidth="1"/>
    <col min="6686" max="6687" width="15.109375" style="1073" customWidth="1"/>
    <col min="6688" max="6690" width="8.88671875" style="1073" customWidth="1"/>
    <col min="6691" max="6691" width="32" style="1073" customWidth="1"/>
    <col min="6692" max="6693" width="11.5546875" style="1073" customWidth="1"/>
    <col min="6694" max="6694" width="10.88671875" style="1073" customWidth="1"/>
    <col min="6695" max="6734" width="8.88671875" style="1073" customWidth="1"/>
    <col min="6735" max="6912" width="8.88671875" style="1073"/>
    <col min="6913" max="6913" width="8.88671875" style="1073" customWidth="1"/>
    <col min="6914" max="6914" width="2.88671875" style="1073" customWidth="1"/>
    <col min="6915" max="6915" width="5.21875" style="1073" customWidth="1"/>
    <col min="6916" max="6916" width="20.109375" style="1073" customWidth="1"/>
    <col min="6917" max="6917" width="10.6640625" style="1073" customWidth="1"/>
    <col min="6918" max="6918" width="11.5546875" style="1073" customWidth="1"/>
    <col min="6919" max="6919" width="4.33203125" style="1073" customWidth="1"/>
    <col min="6920" max="6920" width="14.88671875" style="1073" customWidth="1"/>
    <col min="6921" max="6921" width="9" style="1073" customWidth="1"/>
    <col min="6922" max="6922" width="4.77734375" style="1073" customWidth="1"/>
    <col min="6923" max="6923" width="6.21875" style="1073" customWidth="1"/>
    <col min="6924" max="6924" width="7.109375" style="1073" customWidth="1"/>
    <col min="6925" max="6925" width="4.77734375" style="1073" customWidth="1"/>
    <col min="6926" max="6926" width="30.44140625" style="1073" customWidth="1"/>
    <col min="6927" max="6927" width="12.21875" style="1073" customWidth="1"/>
    <col min="6928" max="6928" width="12" style="1073" customWidth="1"/>
    <col min="6929" max="6929" width="4.44140625" style="1073" customWidth="1"/>
    <col min="6930" max="6930" width="10.109375" style="1073" customWidth="1"/>
    <col min="6931" max="6931" width="7.21875" style="1073" customWidth="1"/>
    <col min="6932" max="6932" width="13" style="1073" customWidth="1"/>
    <col min="6933" max="6933" width="4" style="1073" customWidth="1"/>
    <col min="6934" max="6934" width="27.5546875" style="1073" bestFit="1" customWidth="1"/>
    <col min="6935" max="6935" width="10.33203125" style="1073" customWidth="1"/>
    <col min="6936" max="6936" width="4.33203125" style="1073" customWidth="1"/>
    <col min="6937" max="6937" width="20.6640625" style="1073" customWidth="1"/>
    <col min="6938" max="6939" width="12.33203125" style="1073" customWidth="1"/>
    <col min="6940" max="6940" width="17.6640625" style="1073" customWidth="1"/>
    <col min="6941" max="6941" width="12.21875" style="1073" customWidth="1"/>
    <col min="6942" max="6943" width="15.109375" style="1073" customWidth="1"/>
    <col min="6944" max="6946" width="8.88671875" style="1073" customWidth="1"/>
    <col min="6947" max="6947" width="32" style="1073" customWidth="1"/>
    <col min="6948" max="6949" width="11.5546875" style="1073" customWidth="1"/>
    <col min="6950" max="6950" width="10.88671875" style="1073" customWidth="1"/>
    <col min="6951" max="6990" width="8.88671875" style="1073" customWidth="1"/>
    <col min="6991" max="7168" width="8.88671875" style="1073"/>
    <col min="7169" max="7169" width="8.88671875" style="1073" customWidth="1"/>
    <col min="7170" max="7170" width="2.88671875" style="1073" customWidth="1"/>
    <col min="7171" max="7171" width="5.21875" style="1073" customWidth="1"/>
    <col min="7172" max="7172" width="20.109375" style="1073" customWidth="1"/>
    <col min="7173" max="7173" width="10.6640625" style="1073" customWidth="1"/>
    <col min="7174" max="7174" width="11.5546875" style="1073" customWidth="1"/>
    <col min="7175" max="7175" width="4.33203125" style="1073" customWidth="1"/>
    <col min="7176" max="7176" width="14.88671875" style="1073" customWidth="1"/>
    <col min="7177" max="7177" width="9" style="1073" customWidth="1"/>
    <col min="7178" max="7178" width="4.77734375" style="1073" customWidth="1"/>
    <col min="7179" max="7179" width="6.21875" style="1073" customWidth="1"/>
    <col min="7180" max="7180" width="7.109375" style="1073" customWidth="1"/>
    <col min="7181" max="7181" width="4.77734375" style="1073" customWidth="1"/>
    <col min="7182" max="7182" width="30.44140625" style="1073" customWidth="1"/>
    <col min="7183" max="7183" width="12.21875" style="1073" customWidth="1"/>
    <col min="7184" max="7184" width="12" style="1073" customWidth="1"/>
    <col min="7185" max="7185" width="4.44140625" style="1073" customWidth="1"/>
    <col min="7186" max="7186" width="10.109375" style="1073" customWidth="1"/>
    <col min="7187" max="7187" width="7.21875" style="1073" customWidth="1"/>
    <col min="7188" max="7188" width="13" style="1073" customWidth="1"/>
    <col min="7189" max="7189" width="4" style="1073" customWidth="1"/>
    <col min="7190" max="7190" width="27.5546875" style="1073" bestFit="1" customWidth="1"/>
    <col min="7191" max="7191" width="10.33203125" style="1073" customWidth="1"/>
    <col min="7192" max="7192" width="4.33203125" style="1073" customWidth="1"/>
    <col min="7193" max="7193" width="20.6640625" style="1073" customWidth="1"/>
    <col min="7194" max="7195" width="12.33203125" style="1073" customWidth="1"/>
    <col min="7196" max="7196" width="17.6640625" style="1073" customWidth="1"/>
    <col min="7197" max="7197" width="12.21875" style="1073" customWidth="1"/>
    <col min="7198" max="7199" width="15.109375" style="1073" customWidth="1"/>
    <col min="7200" max="7202" width="8.88671875" style="1073" customWidth="1"/>
    <col min="7203" max="7203" width="32" style="1073" customWidth="1"/>
    <col min="7204" max="7205" width="11.5546875" style="1073" customWidth="1"/>
    <col min="7206" max="7206" width="10.88671875" style="1073" customWidth="1"/>
    <col min="7207" max="7246" width="8.88671875" style="1073" customWidth="1"/>
    <col min="7247" max="7424" width="8.88671875" style="1073"/>
    <col min="7425" max="7425" width="8.88671875" style="1073" customWidth="1"/>
    <col min="7426" max="7426" width="2.88671875" style="1073" customWidth="1"/>
    <col min="7427" max="7427" width="5.21875" style="1073" customWidth="1"/>
    <col min="7428" max="7428" width="20.109375" style="1073" customWidth="1"/>
    <col min="7429" max="7429" width="10.6640625" style="1073" customWidth="1"/>
    <col min="7430" max="7430" width="11.5546875" style="1073" customWidth="1"/>
    <col min="7431" max="7431" width="4.33203125" style="1073" customWidth="1"/>
    <col min="7432" max="7432" width="14.88671875" style="1073" customWidth="1"/>
    <col min="7433" max="7433" width="9" style="1073" customWidth="1"/>
    <col min="7434" max="7434" width="4.77734375" style="1073" customWidth="1"/>
    <col min="7435" max="7435" width="6.21875" style="1073" customWidth="1"/>
    <col min="7436" max="7436" width="7.109375" style="1073" customWidth="1"/>
    <col min="7437" max="7437" width="4.77734375" style="1073" customWidth="1"/>
    <col min="7438" max="7438" width="30.44140625" style="1073" customWidth="1"/>
    <col min="7439" max="7439" width="12.21875" style="1073" customWidth="1"/>
    <col min="7440" max="7440" width="12" style="1073" customWidth="1"/>
    <col min="7441" max="7441" width="4.44140625" style="1073" customWidth="1"/>
    <col min="7442" max="7442" width="10.109375" style="1073" customWidth="1"/>
    <col min="7443" max="7443" width="7.21875" style="1073" customWidth="1"/>
    <col min="7444" max="7444" width="13" style="1073" customWidth="1"/>
    <col min="7445" max="7445" width="4" style="1073" customWidth="1"/>
    <col min="7446" max="7446" width="27.5546875" style="1073" bestFit="1" customWidth="1"/>
    <col min="7447" max="7447" width="10.33203125" style="1073" customWidth="1"/>
    <col min="7448" max="7448" width="4.33203125" style="1073" customWidth="1"/>
    <col min="7449" max="7449" width="20.6640625" style="1073" customWidth="1"/>
    <col min="7450" max="7451" width="12.33203125" style="1073" customWidth="1"/>
    <col min="7452" max="7452" width="17.6640625" style="1073" customWidth="1"/>
    <col min="7453" max="7453" width="12.21875" style="1073" customWidth="1"/>
    <col min="7454" max="7455" width="15.109375" style="1073" customWidth="1"/>
    <col min="7456" max="7458" width="8.88671875" style="1073" customWidth="1"/>
    <col min="7459" max="7459" width="32" style="1073" customWidth="1"/>
    <col min="7460" max="7461" width="11.5546875" style="1073" customWidth="1"/>
    <col min="7462" max="7462" width="10.88671875" style="1073" customWidth="1"/>
    <col min="7463" max="7502" width="8.88671875" style="1073" customWidth="1"/>
    <col min="7503" max="7680" width="8.88671875" style="1073"/>
    <col min="7681" max="7681" width="8.88671875" style="1073" customWidth="1"/>
    <col min="7682" max="7682" width="2.88671875" style="1073" customWidth="1"/>
    <col min="7683" max="7683" width="5.21875" style="1073" customWidth="1"/>
    <col min="7684" max="7684" width="20.109375" style="1073" customWidth="1"/>
    <col min="7685" max="7685" width="10.6640625" style="1073" customWidth="1"/>
    <col min="7686" max="7686" width="11.5546875" style="1073" customWidth="1"/>
    <col min="7687" max="7687" width="4.33203125" style="1073" customWidth="1"/>
    <col min="7688" max="7688" width="14.88671875" style="1073" customWidth="1"/>
    <col min="7689" max="7689" width="9" style="1073" customWidth="1"/>
    <col min="7690" max="7690" width="4.77734375" style="1073" customWidth="1"/>
    <col min="7691" max="7691" width="6.21875" style="1073" customWidth="1"/>
    <col min="7692" max="7692" width="7.109375" style="1073" customWidth="1"/>
    <col min="7693" max="7693" width="4.77734375" style="1073" customWidth="1"/>
    <col min="7694" max="7694" width="30.44140625" style="1073" customWidth="1"/>
    <col min="7695" max="7695" width="12.21875" style="1073" customWidth="1"/>
    <col min="7696" max="7696" width="12" style="1073" customWidth="1"/>
    <col min="7697" max="7697" width="4.44140625" style="1073" customWidth="1"/>
    <col min="7698" max="7698" width="10.109375" style="1073" customWidth="1"/>
    <col min="7699" max="7699" width="7.21875" style="1073" customWidth="1"/>
    <col min="7700" max="7700" width="13" style="1073" customWidth="1"/>
    <col min="7701" max="7701" width="4" style="1073" customWidth="1"/>
    <col min="7702" max="7702" width="27.5546875" style="1073" bestFit="1" customWidth="1"/>
    <col min="7703" max="7703" width="10.33203125" style="1073" customWidth="1"/>
    <col min="7704" max="7704" width="4.33203125" style="1073" customWidth="1"/>
    <col min="7705" max="7705" width="20.6640625" style="1073" customWidth="1"/>
    <col min="7706" max="7707" width="12.33203125" style="1073" customWidth="1"/>
    <col min="7708" max="7708" width="17.6640625" style="1073" customWidth="1"/>
    <col min="7709" max="7709" width="12.21875" style="1073" customWidth="1"/>
    <col min="7710" max="7711" width="15.109375" style="1073" customWidth="1"/>
    <col min="7712" max="7714" width="8.88671875" style="1073" customWidth="1"/>
    <col min="7715" max="7715" width="32" style="1073" customWidth="1"/>
    <col min="7716" max="7717" width="11.5546875" style="1073" customWidth="1"/>
    <col min="7718" max="7718" width="10.88671875" style="1073" customWidth="1"/>
    <col min="7719" max="7758" width="8.88671875" style="1073" customWidth="1"/>
    <col min="7759" max="7936" width="8.88671875" style="1073"/>
    <col min="7937" max="7937" width="8.88671875" style="1073" customWidth="1"/>
    <col min="7938" max="7938" width="2.88671875" style="1073" customWidth="1"/>
    <col min="7939" max="7939" width="5.21875" style="1073" customWidth="1"/>
    <col min="7940" max="7940" width="20.109375" style="1073" customWidth="1"/>
    <col min="7941" max="7941" width="10.6640625" style="1073" customWidth="1"/>
    <col min="7942" max="7942" width="11.5546875" style="1073" customWidth="1"/>
    <col min="7943" max="7943" width="4.33203125" style="1073" customWidth="1"/>
    <col min="7944" max="7944" width="14.88671875" style="1073" customWidth="1"/>
    <col min="7945" max="7945" width="9" style="1073" customWidth="1"/>
    <col min="7946" max="7946" width="4.77734375" style="1073" customWidth="1"/>
    <col min="7947" max="7947" width="6.21875" style="1073" customWidth="1"/>
    <col min="7948" max="7948" width="7.109375" style="1073" customWidth="1"/>
    <col min="7949" max="7949" width="4.77734375" style="1073" customWidth="1"/>
    <col min="7950" max="7950" width="30.44140625" style="1073" customWidth="1"/>
    <col min="7951" max="7951" width="12.21875" style="1073" customWidth="1"/>
    <col min="7952" max="7952" width="12" style="1073" customWidth="1"/>
    <col min="7953" max="7953" width="4.44140625" style="1073" customWidth="1"/>
    <col min="7954" max="7954" width="10.109375" style="1073" customWidth="1"/>
    <col min="7955" max="7955" width="7.21875" style="1073" customWidth="1"/>
    <col min="7956" max="7956" width="13" style="1073" customWidth="1"/>
    <col min="7957" max="7957" width="4" style="1073" customWidth="1"/>
    <col min="7958" max="7958" width="27.5546875" style="1073" bestFit="1" customWidth="1"/>
    <col min="7959" max="7959" width="10.33203125" style="1073" customWidth="1"/>
    <col min="7960" max="7960" width="4.33203125" style="1073" customWidth="1"/>
    <col min="7961" max="7961" width="20.6640625" style="1073" customWidth="1"/>
    <col min="7962" max="7963" width="12.33203125" style="1073" customWidth="1"/>
    <col min="7964" max="7964" width="17.6640625" style="1073" customWidth="1"/>
    <col min="7965" max="7965" width="12.21875" style="1073" customWidth="1"/>
    <col min="7966" max="7967" width="15.109375" style="1073" customWidth="1"/>
    <col min="7968" max="7970" width="8.88671875" style="1073" customWidth="1"/>
    <col min="7971" max="7971" width="32" style="1073" customWidth="1"/>
    <col min="7972" max="7973" width="11.5546875" style="1073" customWidth="1"/>
    <col min="7974" max="7974" width="10.88671875" style="1073" customWidth="1"/>
    <col min="7975" max="8014" width="8.88671875" style="1073" customWidth="1"/>
    <col min="8015" max="8192" width="8.88671875" style="1073"/>
    <col min="8193" max="8193" width="8.88671875" style="1073" customWidth="1"/>
    <col min="8194" max="8194" width="2.88671875" style="1073" customWidth="1"/>
    <col min="8195" max="8195" width="5.21875" style="1073" customWidth="1"/>
    <col min="8196" max="8196" width="20.109375" style="1073" customWidth="1"/>
    <col min="8197" max="8197" width="10.6640625" style="1073" customWidth="1"/>
    <col min="8198" max="8198" width="11.5546875" style="1073" customWidth="1"/>
    <col min="8199" max="8199" width="4.33203125" style="1073" customWidth="1"/>
    <col min="8200" max="8200" width="14.88671875" style="1073" customWidth="1"/>
    <col min="8201" max="8201" width="9" style="1073" customWidth="1"/>
    <col min="8202" max="8202" width="4.77734375" style="1073" customWidth="1"/>
    <col min="8203" max="8203" width="6.21875" style="1073" customWidth="1"/>
    <col min="8204" max="8204" width="7.109375" style="1073" customWidth="1"/>
    <col min="8205" max="8205" width="4.77734375" style="1073" customWidth="1"/>
    <col min="8206" max="8206" width="30.44140625" style="1073" customWidth="1"/>
    <col min="8207" max="8207" width="12.21875" style="1073" customWidth="1"/>
    <col min="8208" max="8208" width="12" style="1073" customWidth="1"/>
    <col min="8209" max="8209" width="4.44140625" style="1073" customWidth="1"/>
    <col min="8210" max="8210" width="10.109375" style="1073" customWidth="1"/>
    <col min="8211" max="8211" width="7.21875" style="1073" customWidth="1"/>
    <col min="8212" max="8212" width="13" style="1073" customWidth="1"/>
    <col min="8213" max="8213" width="4" style="1073" customWidth="1"/>
    <col min="8214" max="8214" width="27.5546875" style="1073" bestFit="1" customWidth="1"/>
    <col min="8215" max="8215" width="10.33203125" style="1073" customWidth="1"/>
    <col min="8216" max="8216" width="4.33203125" style="1073" customWidth="1"/>
    <col min="8217" max="8217" width="20.6640625" style="1073" customWidth="1"/>
    <col min="8218" max="8219" width="12.33203125" style="1073" customWidth="1"/>
    <col min="8220" max="8220" width="17.6640625" style="1073" customWidth="1"/>
    <col min="8221" max="8221" width="12.21875" style="1073" customWidth="1"/>
    <col min="8222" max="8223" width="15.109375" style="1073" customWidth="1"/>
    <col min="8224" max="8226" width="8.88671875" style="1073" customWidth="1"/>
    <col min="8227" max="8227" width="32" style="1073" customWidth="1"/>
    <col min="8228" max="8229" width="11.5546875" style="1073" customWidth="1"/>
    <col min="8230" max="8230" width="10.88671875" style="1073" customWidth="1"/>
    <col min="8231" max="8270" width="8.88671875" style="1073" customWidth="1"/>
    <col min="8271" max="8448" width="8.88671875" style="1073"/>
    <col min="8449" max="8449" width="8.88671875" style="1073" customWidth="1"/>
    <col min="8450" max="8450" width="2.88671875" style="1073" customWidth="1"/>
    <col min="8451" max="8451" width="5.21875" style="1073" customWidth="1"/>
    <col min="8452" max="8452" width="20.109375" style="1073" customWidth="1"/>
    <col min="8453" max="8453" width="10.6640625" style="1073" customWidth="1"/>
    <col min="8454" max="8454" width="11.5546875" style="1073" customWidth="1"/>
    <col min="8455" max="8455" width="4.33203125" style="1073" customWidth="1"/>
    <col min="8456" max="8456" width="14.88671875" style="1073" customWidth="1"/>
    <col min="8457" max="8457" width="9" style="1073" customWidth="1"/>
    <col min="8458" max="8458" width="4.77734375" style="1073" customWidth="1"/>
    <col min="8459" max="8459" width="6.21875" style="1073" customWidth="1"/>
    <col min="8460" max="8460" width="7.109375" style="1073" customWidth="1"/>
    <col min="8461" max="8461" width="4.77734375" style="1073" customWidth="1"/>
    <col min="8462" max="8462" width="30.44140625" style="1073" customWidth="1"/>
    <col min="8463" max="8463" width="12.21875" style="1073" customWidth="1"/>
    <col min="8464" max="8464" width="12" style="1073" customWidth="1"/>
    <col min="8465" max="8465" width="4.44140625" style="1073" customWidth="1"/>
    <col min="8466" max="8466" width="10.109375" style="1073" customWidth="1"/>
    <col min="8467" max="8467" width="7.21875" style="1073" customWidth="1"/>
    <col min="8468" max="8468" width="13" style="1073" customWidth="1"/>
    <col min="8469" max="8469" width="4" style="1073" customWidth="1"/>
    <col min="8470" max="8470" width="27.5546875" style="1073" bestFit="1" customWidth="1"/>
    <col min="8471" max="8471" width="10.33203125" style="1073" customWidth="1"/>
    <col min="8472" max="8472" width="4.33203125" style="1073" customWidth="1"/>
    <col min="8473" max="8473" width="20.6640625" style="1073" customWidth="1"/>
    <col min="8474" max="8475" width="12.33203125" style="1073" customWidth="1"/>
    <col min="8476" max="8476" width="17.6640625" style="1073" customWidth="1"/>
    <col min="8477" max="8477" width="12.21875" style="1073" customWidth="1"/>
    <col min="8478" max="8479" width="15.109375" style="1073" customWidth="1"/>
    <col min="8480" max="8482" width="8.88671875" style="1073" customWidth="1"/>
    <col min="8483" max="8483" width="32" style="1073" customWidth="1"/>
    <col min="8484" max="8485" width="11.5546875" style="1073" customWidth="1"/>
    <col min="8486" max="8486" width="10.88671875" style="1073" customWidth="1"/>
    <col min="8487" max="8526" width="8.88671875" style="1073" customWidth="1"/>
    <col min="8527" max="8704" width="8.88671875" style="1073"/>
    <col min="8705" max="8705" width="8.88671875" style="1073" customWidth="1"/>
    <col min="8706" max="8706" width="2.88671875" style="1073" customWidth="1"/>
    <col min="8707" max="8707" width="5.21875" style="1073" customWidth="1"/>
    <col min="8708" max="8708" width="20.109375" style="1073" customWidth="1"/>
    <col min="8709" max="8709" width="10.6640625" style="1073" customWidth="1"/>
    <col min="8710" max="8710" width="11.5546875" style="1073" customWidth="1"/>
    <col min="8711" max="8711" width="4.33203125" style="1073" customWidth="1"/>
    <col min="8712" max="8712" width="14.88671875" style="1073" customWidth="1"/>
    <col min="8713" max="8713" width="9" style="1073" customWidth="1"/>
    <col min="8714" max="8714" width="4.77734375" style="1073" customWidth="1"/>
    <col min="8715" max="8715" width="6.21875" style="1073" customWidth="1"/>
    <col min="8716" max="8716" width="7.109375" style="1073" customWidth="1"/>
    <col min="8717" max="8717" width="4.77734375" style="1073" customWidth="1"/>
    <col min="8718" max="8718" width="30.44140625" style="1073" customWidth="1"/>
    <col min="8719" max="8719" width="12.21875" style="1073" customWidth="1"/>
    <col min="8720" max="8720" width="12" style="1073" customWidth="1"/>
    <col min="8721" max="8721" width="4.44140625" style="1073" customWidth="1"/>
    <col min="8722" max="8722" width="10.109375" style="1073" customWidth="1"/>
    <col min="8723" max="8723" width="7.21875" style="1073" customWidth="1"/>
    <col min="8724" max="8724" width="13" style="1073" customWidth="1"/>
    <col min="8725" max="8725" width="4" style="1073" customWidth="1"/>
    <col min="8726" max="8726" width="27.5546875" style="1073" bestFit="1" customWidth="1"/>
    <col min="8727" max="8727" width="10.33203125" style="1073" customWidth="1"/>
    <col min="8728" max="8728" width="4.33203125" style="1073" customWidth="1"/>
    <col min="8729" max="8729" width="20.6640625" style="1073" customWidth="1"/>
    <col min="8730" max="8731" width="12.33203125" style="1073" customWidth="1"/>
    <col min="8732" max="8732" width="17.6640625" style="1073" customWidth="1"/>
    <col min="8733" max="8733" width="12.21875" style="1073" customWidth="1"/>
    <col min="8734" max="8735" width="15.109375" style="1073" customWidth="1"/>
    <col min="8736" max="8738" width="8.88671875" style="1073" customWidth="1"/>
    <col min="8739" max="8739" width="32" style="1073" customWidth="1"/>
    <col min="8740" max="8741" width="11.5546875" style="1073" customWidth="1"/>
    <col min="8742" max="8742" width="10.88671875" style="1073" customWidth="1"/>
    <col min="8743" max="8782" width="8.88671875" style="1073" customWidth="1"/>
    <col min="8783" max="8960" width="8.88671875" style="1073"/>
    <col min="8961" max="8961" width="8.88671875" style="1073" customWidth="1"/>
    <col min="8962" max="8962" width="2.88671875" style="1073" customWidth="1"/>
    <col min="8963" max="8963" width="5.21875" style="1073" customWidth="1"/>
    <col min="8964" max="8964" width="20.109375" style="1073" customWidth="1"/>
    <col min="8965" max="8965" width="10.6640625" style="1073" customWidth="1"/>
    <col min="8966" max="8966" width="11.5546875" style="1073" customWidth="1"/>
    <col min="8967" max="8967" width="4.33203125" style="1073" customWidth="1"/>
    <col min="8968" max="8968" width="14.88671875" style="1073" customWidth="1"/>
    <col min="8969" max="8969" width="9" style="1073" customWidth="1"/>
    <col min="8970" max="8970" width="4.77734375" style="1073" customWidth="1"/>
    <col min="8971" max="8971" width="6.21875" style="1073" customWidth="1"/>
    <col min="8972" max="8972" width="7.109375" style="1073" customWidth="1"/>
    <col min="8973" max="8973" width="4.77734375" style="1073" customWidth="1"/>
    <col min="8974" max="8974" width="30.44140625" style="1073" customWidth="1"/>
    <col min="8975" max="8975" width="12.21875" style="1073" customWidth="1"/>
    <col min="8976" max="8976" width="12" style="1073" customWidth="1"/>
    <col min="8977" max="8977" width="4.44140625" style="1073" customWidth="1"/>
    <col min="8978" max="8978" width="10.109375" style="1073" customWidth="1"/>
    <col min="8979" max="8979" width="7.21875" style="1073" customWidth="1"/>
    <col min="8980" max="8980" width="13" style="1073" customWidth="1"/>
    <col min="8981" max="8981" width="4" style="1073" customWidth="1"/>
    <col min="8982" max="8982" width="27.5546875" style="1073" bestFit="1" customWidth="1"/>
    <col min="8983" max="8983" width="10.33203125" style="1073" customWidth="1"/>
    <col min="8984" max="8984" width="4.33203125" style="1073" customWidth="1"/>
    <col min="8985" max="8985" width="20.6640625" style="1073" customWidth="1"/>
    <col min="8986" max="8987" width="12.33203125" style="1073" customWidth="1"/>
    <col min="8988" max="8988" width="17.6640625" style="1073" customWidth="1"/>
    <col min="8989" max="8989" width="12.21875" style="1073" customWidth="1"/>
    <col min="8990" max="8991" width="15.109375" style="1073" customWidth="1"/>
    <col min="8992" max="8994" width="8.88671875" style="1073" customWidth="1"/>
    <col min="8995" max="8995" width="32" style="1073" customWidth="1"/>
    <col min="8996" max="8997" width="11.5546875" style="1073" customWidth="1"/>
    <col min="8998" max="8998" width="10.88671875" style="1073" customWidth="1"/>
    <col min="8999" max="9038" width="8.88671875" style="1073" customWidth="1"/>
    <col min="9039" max="9216" width="8.88671875" style="1073"/>
    <col min="9217" max="9217" width="8.88671875" style="1073" customWidth="1"/>
    <col min="9218" max="9218" width="2.88671875" style="1073" customWidth="1"/>
    <col min="9219" max="9219" width="5.21875" style="1073" customWidth="1"/>
    <col min="9220" max="9220" width="20.109375" style="1073" customWidth="1"/>
    <col min="9221" max="9221" width="10.6640625" style="1073" customWidth="1"/>
    <col min="9222" max="9222" width="11.5546875" style="1073" customWidth="1"/>
    <col min="9223" max="9223" width="4.33203125" style="1073" customWidth="1"/>
    <col min="9224" max="9224" width="14.88671875" style="1073" customWidth="1"/>
    <col min="9225" max="9225" width="9" style="1073" customWidth="1"/>
    <col min="9226" max="9226" width="4.77734375" style="1073" customWidth="1"/>
    <col min="9227" max="9227" width="6.21875" style="1073" customWidth="1"/>
    <col min="9228" max="9228" width="7.109375" style="1073" customWidth="1"/>
    <col min="9229" max="9229" width="4.77734375" style="1073" customWidth="1"/>
    <col min="9230" max="9230" width="30.44140625" style="1073" customWidth="1"/>
    <col min="9231" max="9231" width="12.21875" style="1073" customWidth="1"/>
    <col min="9232" max="9232" width="12" style="1073" customWidth="1"/>
    <col min="9233" max="9233" width="4.44140625" style="1073" customWidth="1"/>
    <col min="9234" max="9234" width="10.109375" style="1073" customWidth="1"/>
    <col min="9235" max="9235" width="7.21875" style="1073" customWidth="1"/>
    <col min="9236" max="9236" width="13" style="1073" customWidth="1"/>
    <col min="9237" max="9237" width="4" style="1073" customWidth="1"/>
    <col min="9238" max="9238" width="27.5546875" style="1073" bestFit="1" customWidth="1"/>
    <col min="9239" max="9239" width="10.33203125" style="1073" customWidth="1"/>
    <col min="9240" max="9240" width="4.33203125" style="1073" customWidth="1"/>
    <col min="9241" max="9241" width="20.6640625" style="1073" customWidth="1"/>
    <col min="9242" max="9243" width="12.33203125" style="1073" customWidth="1"/>
    <col min="9244" max="9244" width="17.6640625" style="1073" customWidth="1"/>
    <col min="9245" max="9245" width="12.21875" style="1073" customWidth="1"/>
    <col min="9246" max="9247" width="15.109375" style="1073" customWidth="1"/>
    <col min="9248" max="9250" width="8.88671875" style="1073" customWidth="1"/>
    <col min="9251" max="9251" width="32" style="1073" customWidth="1"/>
    <col min="9252" max="9253" width="11.5546875" style="1073" customWidth="1"/>
    <col min="9254" max="9254" width="10.88671875" style="1073" customWidth="1"/>
    <col min="9255" max="9294" width="8.88671875" style="1073" customWidth="1"/>
    <col min="9295" max="9472" width="8.88671875" style="1073"/>
    <col min="9473" max="9473" width="8.88671875" style="1073" customWidth="1"/>
    <col min="9474" max="9474" width="2.88671875" style="1073" customWidth="1"/>
    <col min="9475" max="9475" width="5.21875" style="1073" customWidth="1"/>
    <col min="9476" max="9476" width="20.109375" style="1073" customWidth="1"/>
    <col min="9477" max="9477" width="10.6640625" style="1073" customWidth="1"/>
    <col min="9478" max="9478" width="11.5546875" style="1073" customWidth="1"/>
    <col min="9479" max="9479" width="4.33203125" style="1073" customWidth="1"/>
    <col min="9480" max="9480" width="14.88671875" style="1073" customWidth="1"/>
    <col min="9481" max="9481" width="9" style="1073" customWidth="1"/>
    <col min="9482" max="9482" width="4.77734375" style="1073" customWidth="1"/>
    <col min="9483" max="9483" width="6.21875" style="1073" customWidth="1"/>
    <col min="9484" max="9484" width="7.109375" style="1073" customWidth="1"/>
    <col min="9485" max="9485" width="4.77734375" style="1073" customWidth="1"/>
    <col min="9486" max="9486" width="30.44140625" style="1073" customWidth="1"/>
    <col min="9487" max="9487" width="12.21875" style="1073" customWidth="1"/>
    <col min="9488" max="9488" width="12" style="1073" customWidth="1"/>
    <col min="9489" max="9489" width="4.44140625" style="1073" customWidth="1"/>
    <col min="9490" max="9490" width="10.109375" style="1073" customWidth="1"/>
    <col min="9491" max="9491" width="7.21875" style="1073" customWidth="1"/>
    <col min="9492" max="9492" width="13" style="1073" customWidth="1"/>
    <col min="9493" max="9493" width="4" style="1073" customWidth="1"/>
    <col min="9494" max="9494" width="27.5546875" style="1073" bestFit="1" customWidth="1"/>
    <col min="9495" max="9495" width="10.33203125" style="1073" customWidth="1"/>
    <col min="9496" max="9496" width="4.33203125" style="1073" customWidth="1"/>
    <col min="9497" max="9497" width="20.6640625" style="1073" customWidth="1"/>
    <col min="9498" max="9499" width="12.33203125" style="1073" customWidth="1"/>
    <col min="9500" max="9500" width="17.6640625" style="1073" customWidth="1"/>
    <col min="9501" max="9501" width="12.21875" style="1073" customWidth="1"/>
    <col min="9502" max="9503" width="15.109375" style="1073" customWidth="1"/>
    <col min="9504" max="9506" width="8.88671875" style="1073" customWidth="1"/>
    <col min="9507" max="9507" width="32" style="1073" customWidth="1"/>
    <col min="9508" max="9509" width="11.5546875" style="1073" customWidth="1"/>
    <col min="9510" max="9510" width="10.88671875" style="1073" customWidth="1"/>
    <col min="9511" max="9550" width="8.88671875" style="1073" customWidth="1"/>
    <col min="9551" max="9728" width="8.88671875" style="1073"/>
    <col min="9729" max="9729" width="8.88671875" style="1073" customWidth="1"/>
    <col min="9730" max="9730" width="2.88671875" style="1073" customWidth="1"/>
    <col min="9731" max="9731" width="5.21875" style="1073" customWidth="1"/>
    <col min="9732" max="9732" width="20.109375" style="1073" customWidth="1"/>
    <col min="9733" max="9733" width="10.6640625" style="1073" customWidth="1"/>
    <col min="9734" max="9734" width="11.5546875" style="1073" customWidth="1"/>
    <col min="9735" max="9735" width="4.33203125" style="1073" customWidth="1"/>
    <col min="9736" max="9736" width="14.88671875" style="1073" customWidth="1"/>
    <col min="9737" max="9737" width="9" style="1073" customWidth="1"/>
    <col min="9738" max="9738" width="4.77734375" style="1073" customWidth="1"/>
    <col min="9739" max="9739" width="6.21875" style="1073" customWidth="1"/>
    <col min="9740" max="9740" width="7.109375" style="1073" customWidth="1"/>
    <col min="9741" max="9741" width="4.77734375" style="1073" customWidth="1"/>
    <col min="9742" max="9742" width="30.44140625" style="1073" customWidth="1"/>
    <col min="9743" max="9743" width="12.21875" style="1073" customWidth="1"/>
    <col min="9744" max="9744" width="12" style="1073" customWidth="1"/>
    <col min="9745" max="9745" width="4.44140625" style="1073" customWidth="1"/>
    <col min="9746" max="9746" width="10.109375" style="1073" customWidth="1"/>
    <col min="9747" max="9747" width="7.21875" style="1073" customWidth="1"/>
    <col min="9748" max="9748" width="13" style="1073" customWidth="1"/>
    <col min="9749" max="9749" width="4" style="1073" customWidth="1"/>
    <col min="9750" max="9750" width="27.5546875" style="1073" bestFit="1" customWidth="1"/>
    <col min="9751" max="9751" width="10.33203125" style="1073" customWidth="1"/>
    <col min="9752" max="9752" width="4.33203125" style="1073" customWidth="1"/>
    <col min="9753" max="9753" width="20.6640625" style="1073" customWidth="1"/>
    <col min="9754" max="9755" width="12.33203125" style="1073" customWidth="1"/>
    <col min="9756" max="9756" width="17.6640625" style="1073" customWidth="1"/>
    <col min="9757" max="9757" width="12.21875" style="1073" customWidth="1"/>
    <col min="9758" max="9759" width="15.109375" style="1073" customWidth="1"/>
    <col min="9760" max="9762" width="8.88671875" style="1073" customWidth="1"/>
    <col min="9763" max="9763" width="32" style="1073" customWidth="1"/>
    <col min="9764" max="9765" width="11.5546875" style="1073" customWidth="1"/>
    <col min="9766" max="9766" width="10.88671875" style="1073" customWidth="1"/>
    <col min="9767" max="9806" width="8.88671875" style="1073" customWidth="1"/>
    <col min="9807" max="9984" width="8.88671875" style="1073"/>
    <col min="9985" max="9985" width="8.88671875" style="1073" customWidth="1"/>
    <col min="9986" max="9986" width="2.88671875" style="1073" customWidth="1"/>
    <col min="9987" max="9987" width="5.21875" style="1073" customWidth="1"/>
    <col min="9988" max="9988" width="20.109375" style="1073" customWidth="1"/>
    <col min="9989" max="9989" width="10.6640625" style="1073" customWidth="1"/>
    <col min="9990" max="9990" width="11.5546875" style="1073" customWidth="1"/>
    <col min="9991" max="9991" width="4.33203125" style="1073" customWidth="1"/>
    <col min="9992" max="9992" width="14.88671875" style="1073" customWidth="1"/>
    <col min="9993" max="9993" width="9" style="1073" customWidth="1"/>
    <col min="9994" max="9994" width="4.77734375" style="1073" customWidth="1"/>
    <col min="9995" max="9995" width="6.21875" style="1073" customWidth="1"/>
    <col min="9996" max="9996" width="7.109375" style="1073" customWidth="1"/>
    <col min="9997" max="9997" width="4.77734375" style="1073" customWidth="1"/>
    <col min="9998" max="9998" width="30.44140625" style="1073" customWidth="1"/>
    <col min="9999" max="9999" width="12.21875" style="1073" customWidth="1"/>
    <col min="10000" max="10000" width="12" style="1073" customWidth="1"/>
    <col min="10001" max="10001" width="4.44140625" style="1073" customWidth="1"/>
    <col min="10002" max="10002" width="10.109375" style="1073" customWidth="1"/>
    <col min="10003" max="10003" width="7.21875" style="1073" customWidth="1"/>
    <col min="10004" max="10004" width="13" style="1073" customWidth="1"/>
    <col min="10005" max="10005" width="4" style="1073" customWidth="1"/>
    <col min="10006" max="10006" width="27.5546875" style="1073" bestFit="1" customWidth="1"/>
    <col min="10007" max="10007" width="10.33203125" style="1073" customWidth="1"/>
    <col min="10008" max="10008" width="4.33203125" style="1073" customWidth="1"/>
    <col min="10009" max="10009" width="20.6640625" style="1073" customWidth="1"/>
    <col min="10010" max="10011" width="12.33203125" style="1073" customWidth="1"/>
    <col min="10012" max="10012" width="17.6640625" style="1073" customWidth="1"/>
    <col min="10013" max="10013" width="12.21875" style="1073" customWidth="1"/>
    <col min="10014" max="10015" width="15.109375" style="1073" customWidth="1"/>
    <col min="10016" max="10018" width="8.88671875" style="1073" customWidth="1"/>
    <col min="10019" max="10019" width="32" style="1073" customWidth="1"/>
    <col min="10020" max="10021" width="11.5546875" style="1073" customWidth="1"/>
    <col min="10022" max="10022" width="10.88671875" style="1073" customWidth="1"/>
    <col min="10023" max="10062" width="8.88671875" style="1073" customWidth="1"/>
    <col min="10063" max="10240" width="8.88671875" style="1073"/>
    <col min="10241" max="10241" width="8.88671875" style="1073" customWidth="1"/>
    <col min="10242" max="10242" width="2.88671875" style="1073" customWidth="1"/>
    <col min="10243" max="10243" width="5.21875" style="1073" customWidth="1"/>
    <col min="10244" max="10244" width="20.109375" style="1073" customWidth="1"/>
    <col min="10245" max="10245" width="10.6640625" style="1073" customWidth="1"/>
    <col min="10246" max="10246" width="11.5546875" style="1073" customWidth="1"/>
    <col min="10247" max="10247" width="4.33203125" style="1073" customWidth="1"/>
    <col min="10248" max="10248" width="14.88671875" style="1073" customWidth="1"/>
    <col min="10249" max="10249" width="9" style="1073" customWidth="1"/>
    <col min="10250" max="10250" width="4.77734375" style="1073" customWidth="1"/>
    <col min="10251" max="10251" width="6.21875" style="1073" customWidth="1"/>
    <col min="10252" max="10252" width="7.109375" style="1073" customWidth="1"/>
    <col min="10253" max="10253" width="4.77734375" style="1073" customWidth="1"/>
    <col min="10254" max="10254" width="30.44140625" style="1073" customWidth="1"/>
    <col min="10255" max="10255" width="12.21875" style="1073" customWidth="1"/>
    <col min="10256" max="10256" width="12" style="1073" customWidth="1"/>
    <col min="10257" max="10257" width="4.44140625" style="1073" customWidth="1"/>
    <col min="10258" max="10258" width="10.109375" style="1073" customWidth="1"/>
    <col min="10259" max="10259" width="7.21875" style="1073" customWidth="1"/>
    <col min="10260" max="10260" width="13" style="1073" customWidth="1"/>
    <col min="10261" max="10261" width="4" style="1073" customWidth="1"/>
    <col min="10262" max="10262" width="27.5546875" style="1073" bestFit="1" customWidth="1"/>
    <col min="10263" max="10263" width="10.33203125" style="1073" customWidth="1"/>
    <col min="10264" max="10264" width="4.33203125" style="1073" customWidth="1"/>
    <col min="10265" max="10265" width="20.6640625" style="1073" customWidth="1"/>
    <col min="10266" max="10267" width="12.33203125" style="1073" customWidth="1"/>
    <col min="10268" max="10268" width="17.6640625" style="1073" customWidth="1"/>
    <col min="10269" max="10269" width="12.21875" style="1073" customWidth="1"/>
    <col min="10270" max="10271" width="15.109375" style="1073" customWidth="1"/>
    <col min="10272" max="10274" width="8.88671875" style="1073" customWidth="1"/>
    <col min="10275" max="10275" width="32" style="1073" customWidth="1"/>
    <col min="10276" max="10277" width="11.5546875" style="1073" customWidth="1"/>
    <col min="10278" max="10278" width="10.88671875" style="1073" customWidth="1"/>
    <col min="10279" max="10318" width="8.88671875" style="1073" customWidth="1"/>
    <col min="10319" max="10496" width="8.88671875" style="1073"/>
    <col min="10497" max="10497" width="8.88671875" style="1073" customWidth="1"/>
    <col min="10498" max="10498" width="2.88671875" style="1073" customWidth="1"/>
    <col min="10499" max="10499" width="5.21875" style="1073" customWidth="1"/>
    <col min="10500" max="10500" width="20.109375" style="1073" customWidth="1"/>
    <col min="10501" max="10501" width="10.6640625" style="1073" customWidth="1"/>
    <col min="10502" max="10502" width="11.5546875" style="1073" customWidth="1"/>
    <col min="10503" max="10503" width="4.33203125" style="1073" customWidth="1"/>
    <col min="10504" max="10504" width="14.88671875" style="1073" customWidth="1"/>
    <col min="10505" max="10505" width="9" style="1073" customWidth="1"/>
    <col min="10506" max="10506" width="4.77734375" style="1073" customWidth="1"/>
    <col min="10507" max="10507" width="6.21875" style="1073" customWidth="1"/>
    <col min="10508" max="10508" width="7.109375" style="1073" customWidth="1"/>
    <col min="10509" max="10509" width="4.77734375" style="1073" customWidth="1"/>
    <col min="10510" max="10510" width="30.44140625" style="1073" customWidth="1"/>
    <col min="10511" max="10511" width="12.21875" style="1073" customWidth="1"/>
    <col min="10512" max="10512" width="12" style="1073" customWidth="1"/>
    <col min="10513" max="10513" width="4.44140625" style="1073" customWidth="1"/>
    <col min="10514" max="10514" width="10.109375" style="1073" customWidth="1"/>
    <col min="10515" max="10515" width="7.21875" style="1073" customWidth="1"/>
    <col min="10516" max="10516" width="13" style="1073" customWidth="1"/>
    <col min="10517" max="10517" width="4" style="1073" customWidth="1"/>
    <col min="10518" max="10518" width="27.5546875" style="1073" bestFit="1" customWidth="1"/>
    <col min="10519" max="10519" width="10.33203125" style="1073" customWidth="1"/>
    <col min="10520" max="10520" width="4.33203125" style="1073" customWidth="1"/>
    <col min="10521" max="10521" width="20.6640625" style="1073" customWidth="1"/>
    <col min="10522" max="10523" width="12.33203125" style="1073" customWidth="1"/>
    <col min="10524" max="10524" width="17.6640625" style="1073" customWidth="1"/>
    <col min="10525" max="10525" width="12.21875" style="1073" customWidth="1"/>
    <col min="10526" max="10527" width="15.109375" style="1073" customWidth="1"/>
    <col min="10528" max="10530" width="8.88671875" style="1073" customWidth="1"/>
    <col min="10531" max="10531" width="32" style="1073" customWidth="1"/>
    <col min="10532" max="10533" width="11.5546875" style="1073" customWidth="1"/>
    <col min="10534" max="10534" width="10.88671875" style="1073" customWidth="1"/>
    <col min="10535" max="10574" width="8.88671875" style="1073" customWidth="1"/>
    <col min="10575" max="10752" width="8.88671875" style="1073"/>
    <col min="10753" max="10753" width="8.88671875" style="1073" customWidth="1"/>
    <col min="10754" max="10754" width="2.88671875" style="1073" customWidth="1"/>
    <col min="10755" max="10755" width="5.21875" style="1073" customWidth="1"/>
    <col min="10756" max="10756" width="20.109375" style="1073" customWidth="1"/>
    <col min="10757" max="10757" width="10.6640625" style="1073" customWidth="1"/>
    <col min="10758" max="10758" width="11.5546875" style="1073" customWidth="1"/>
    <col min="10759" max="10759" width="4.33203125" style="1073" customWidth="1"/>
    <col min="10760" max="10760" width="14.88671875" style="1073" customWidth="1"/>
    <col min="10761" max="10761" width="9" style="1073" customWidth="1"/>
    <col min="10762" max="10762" width="4.77734375" style="1073" customWidth="1"/>
    <col min="10763" max="10763" width="6.21875" style="1073" customWidth="1"/>
    <col min="10764" max="10764" width="7.109375" style="1073" customWidth="1"/>
    <col min="10765" max="10765" width="4.77734375" style="1073" customWidth="1"/>
    <col min="10766" max="10766" width="30.44140625" style="1073" customWidth="1"/>
    <col min="10767" max="10767" width="12.21875" style="1073" customWidth="1"/>
    <col min="10768" max="10768" width="12" style="1073" customWidth="1"/>
    <col min="10769" max="10769" width="4.44140625" style="1073" customWidth="1"/>
    <col min="10770" max="10770" width="10.109375" style="1073" customWidth="1"/>
    <col min="10771" max="10771" width="7.21875" style="1073" customWidth="1"/>
    <col min="10772" max="10772" width="13" style="1073" customWidth="1"/>
    <col min="10773" max="10773" width="4" style="1073" customWidth="1"/>
    <col min="10774" max="10774" width="27.5546875" style="1073" bestFit="1" customWidth="1"/>
    <col min="10775" max="10775" width="10.33203125" style="1073" customWidth="1"/>
    <col min="10776" max="10776" width="4.33203125" style="1073" customWidth="1"/>
    <col min="10777" max="10777" width="20.6640625" style="1073" customWidth="1"/>
    <col min="10778" max="10779" width="12.33203125" style="1073" customWidth="1"/>
    <col min="10780" max="10780" width="17.6640625" style="1073" customWidth="1"/>
    <col min="10781" max="10781" width="12.21875" style="1073" customWidth="1"/>
    <col min="10782" max="10783" width="15.109375" style="1073" customWidth="1"/>
    <col min="10784" max="10786" width="8.88671875" style="1073" customWidth="1"/>
    <col min="10787" max="10787" width="32" style="1073" customWidth="1"/>
    <col min="10788" max="10789" width="11.5546875" style="1073" customWidth="1"/>
    <col min="10790" max="10790" width="10.88671875" style="1073" customWidth="1"/>
    <col min="10791" max="10830" width="8.88671875" style="1073" customWidth="1"/>
    <col min="10831" max="11008" width="8.88671875" style="1073"/>
    <col min="11009" max="11009" width="8.88671875" style="1073" customWidth="1"/>
    <col min="11010" max="11010" width="2.88671875" style="1073" customWidth="1"/>
    <col min="11011" max="11011" width="5.21875" style="1073" customWidth="1"/>
    <col min="11012" max="11012" width="20.109375" style="1073" customWidth="1"/>
    <col min="11013" max="11013" width="10.6640625" style="1073" customWidth="1"/>
    <col min="11014" max="11014" width="11.5546875" style="1073" customWidth="1"/>
    <col min="11015" max="11015" width="4.33203125" style="1073" customWidth="1"/>
    <col min="11016" max="11016" width="14.88671875" style="1073" customWidth="1"/>
    <col min="11017" max="11017" width="9" style="1073" customWidth="1"/>
    <col min="11018" max="11018" width="4.77734375" style="1073" customWidth="1"/>
    <col min="11019" max="11019" width="6.21875" style="1073" customWidth="1"/>
    <col min="11020" max="11020" width="7.109375" style="1073" customWidth="1"/>
    <col min="11021" max="11021" width="4.77734375" style="1073" customWidth="1"/>
    <col min="11022" max="11022" width="30.44140625" style="1073" customWidth="1"/>
    <col min="11023" max="11023" width="12.21875" style="1073" customWidth="1"/>
    <col min="11024" max="11024" width="12" style="1073" customWidth="1"/>
    <col min="11025" max="11025" width="4.44140625" style="1073" customWidth="1"/>
    <col min="11026" max="11026" width="10.109375" style="1073" customWidth="1"/>
    <col min="11027" max="11027" width="7.21875" style="1073" customWidth="1"/>
    <col min="11028" max="11028" width="13" style="1073" customWidth="1"/>
    <col min="11029" max="11029" width="4" style="1073" customWidth="1"/>
    <col min="11030" max="11030" width="27.5546875" style="1073" bestFit="1" customWidth="1"/>
    <col min="11031" max="11031" width="10.33203125" style="1073" customWidth="1"/>
    <col min="11032" max="11032" width="4.33203125" style="1073" customWidth="1"/>
    <col min="11033" max="11033" width="20.6640625" style="1073" customWidth="1"/>
    <col min="11034" max="11035" width="12.33203125" style="1073" customWidth="1"/>
    <col min="11036" max="11036" width="17.6640625" style="1073" customWidth="1"/>
    <col min="11037" max="11037" width="12.21875" style="1073" customWidth="1"/>
    <col min="11038" max="11039" width="15.109375" style="1073" customWidth="1"/>
    <col min="11040" max="11042" width="8.88671875" style="1073" customWidth="1"/>
    <col min="11043" max="11043" width="32" style="1073" customWidth="1"/>
    <col min="11044" max="11045" width="11.5546875" style="1073" customWidth="1"/>
    <col min="11046" max="11046" width="10.88671875" style="1073" customWidth="1"/>
    <col min="11047" max="11086" width="8.88671875" style="1073" customWidth="1"/>
    <col min="11087" max="11264" width="8.88671875" style="1073"/>
    <col min="11265" max="11265" width="8.88671875" style="1073" customWidth="1"/>
    <col min="11266" max="11266" width="2.88671875" style="1073" customWidth="1"/>
    <col min="11267" max="11267" width="5.21875" style="1073" customWidth="1"/>
    <col min="11268" max="11268" width="20.109375" style="1073" customWidth="1"/>
    <col min="11269" max="11269" width="10.6640625" style="1073" customWidth="1"/>
    <col min="11270" max="11270" width="11.5546875" style="1073" customWidth="1"/>
    <col min="11271" max="11271" width="4.33203125" style="1073" customWidth="1"/>
    <col min="11272" max="11272" width="14.88671875" style="1073" customWidth="1"/>
    <col min="11273" max="11273" width="9" style="1073" customWidth="1"/>
    <col min="11274" max="11274" width="4.77734375" style="1073" customWidth="1"/>
    <col min="11275" max="11275" width="6.21875" style="1073" customWidth="1"/>
    <col min="11276" max="11276" width="7.109375" style="1073" customWidth="1"/>
    <col min="11277" max="11277" width="4.77734375" style="1073" customWidth="1"/>
    <col min="11278" max="11278" width="30.44140625" style="1073" customWidth="1"/>
    <col min="11279" max="11279" width="12.21875" style="1073" customWidth="1"/>
    <col min="11280" max="11280" width="12" style="1073" customWidth="1"/>
    <col min="11281" max="11281" width="4.44140625" style="1073" customWidth="1"/>
    <col min="11282" max="11282" width="10.109375" style="1073" customWidth="1"/>
    <col min="11283" max="11283" width="7.21875" style="1073" customWidth="1"/>
    <col min="11284" max="11284" width="13" style="1073" customWidth="1"/>
    <col min="11285" max="11285" width="4" style="1073" customWidth="1"/>
    <col min="11286" max="11286" width="27.5546875" style="1073" bestFit="1" customWidth="1"/>
    <col min="11287" max="11287" width="10.33203125" style="1073" customWidth="1"/>
    <col min="11288" max="11288" width="4.33203125" style="1073" customWidth="1"/>
    <col min="11289" max="11289" width="20.6640625" style="1073" customWidth="1"/>
    <col min="11290" max="11291" width="12.33203125" style="1073" customWidth="1"/>
    <col min="11292" max="11292" width="17.6640625" style="1073" customWidth="1"/>
    <col min="11293" max="11293" width="12.21875" style="1073" customWidth="1"/>
    <col min="11294" max="11295" width="15.109375" style="1073" customWidth="1"/>
    <col min="11296" max="11298" width="8.88671875" style="1073" customWidth="1"/>
    <col min="11299" max="11299" width="32" style="1073" customWidth="1"/>
    <col min="11300" max="11301" width="11.5546875" style="1073" customWidth="1"/>
    <col min="11302" max="11302" width="10.88671875" style="1073" customWidth="1"/>
    <col min="11303" max="11342" width="8.88671875" style="1073" customWidth="1"/>
    <col min="11343" max="11520" width="8.88671875" style="1073"/>
    <col min="11521" max="11521" width="8.88671875" style="1073" customWidth="1"/>
    <col min="11522" max="11522" width="2.88671875" style="1073" customWidth="1"/>
    <col min="11523" max="11523" width="5.21875" style="1073" customWidth="1"/>
    <col min="11524" max="11524" width="20.109375" style="1073" customWidth="1"/>
    <col min="11525" max="11525" width="10.6640625" style="1073" customWidth="1"/>
    <col min="11526" max="11526" width="11.5546875" style="1073" customWidth="1"/>
    <col min="11527" max="11527" width="4.33203125" style="1073" customWidth="1"/>
    <col min="11528" max="11528" width="14.88671875" style="1073" customWidth="1"/>
    <col min="11529" max="11529" width="9" style="1073" customWidth="1"/>
    <col min="11530" max="11530" width="4.77734375" style="1073" customWidth="1"/>
    <col min="11531" max="11531" width="6.21875" style="1073" customWidth="1"/>
    <col min="11532" max="11532" width="7.109375" style="1073" customWidth="1"/>
    <col min="11533" max="11533" width="4.77734375" style="1073" customWidth="1"/>
    <col min="11534" max="11534" width="30.44140625" style="1073" customWidth="1"/>
    <col min="11535" max="11535" width="12.21875" style="1073" customWidth="1"/>
    <col min="11536" max="11536" width="12" style="1073" customWidth="1"/>
    <col min="11537" max="11537" width="4.44140625" style="1073" customWidth="1"/>
    <col min="11538" max="11538" width="10.109375" style="1073" customWidth="1"/>
    <col min="11539" max="11539" width="7.21875" style="1073" customWidth="1"/>
    <col min="11540" max="11540" width="13" style="1073" customWidth="1"/>
    <col min="11541" max="11541" width="4" style="1073" customWidth="1"/>
    <col min="11542" max="11542" width="27.5546875" style="1073" bestFit="1" customWidth="1"/>
    <col min="11543" max="11543" width="10.33203125" style="1073" customWidth="1"/>
    <col min="11544" max="11544" width="4.33203125" style="1073" customWidth="1"/>
    <col min="11545" max="11545" width="20.6640625" style="1073" customWidth="1"/>
    <col min="11546" max="11547" width="12.33203125" style="1073" customWidth="1"/>
    <col min="11548" max="11548" width="17.6640625" style="1073" customWidth="1"/>
    <col min="11549" max="11549" width="12.21875" style="1073" customWidth="1"/>
    <col min="11550" max="11551" width="15.109375" style="1073" customWidth="1"/>
    <col min="11552" max="11554" width="8.88671875" style="1073" customWidth="1"/>
    <col min="11555" max="11555" width="32" style="1073" customWidth="1"/>
    <col min="11556" max="11557" width="11.5546875" style="1073" customWidth="1"/>
    <col min="11558" max="11558" width="10.88671875" style="1073" customWidth="1"/>
    <col min="11559" max="11598" width="8.88671875" style="1073" customWidth="1"/>
    <col min="11599" max="11776" width="8.88671875" style="1073"/>
    <col min="11777" max="11777" width="8.88671875" style="1073" customWidth="1"/>
    <col min="11778" max="11778" width="2.88671875" style="1073" customWidth="1"/>
    <col min="11779" max="11779" width="5.21875" style="1073" customWidth="1"/>
    <col min="11780" max="11780" width="20.109375" style="1073" customWidth="1"/>
    <col min="11781" max="11781" width="10.6640625" style="1073" customWidth="1"/>
    <col min="11782" max="11782" width="11.5546875" style="1073" customWidth="1"/>
    <col min="11783" max="11783" width="4.33203125" style="1073" customWidth="1"/>
    <col min="11784" max="11784" width="14.88671875" style="1073" customWidth="1"/>
    <col min="11785" max="11785" width="9" style="1073" customWidth="1"/>
    <col min="11786" max="11786" width="4.77734375" style="1073" customWidth="1"/>
    <col min="11787" max="11787" width="6.21875" style="1073" customWidth="1"/>
    <col min="11788" max="11788" width="7.109375" style="1073" customWidth="1"/>
    <col min="11789" max="11789" width="4.77734375" style="1073" customWidth="1"/>
    <col min="11790" max="11790" width="30.44140625" style="1073" customWidth="1"/>
    <col min="11791" max="11791" width="12.21875" style="1073" customWidth="1"/>
    <col min="11792" max="11792" width="12" style="1073" customWidth="1"/>
    <col min="11793" max="11793" width="4.44140625" style="1073" customWidth="1"/>
    <col min="11794" max="11794" width="10.109375" style="1073" customWidth="1"/>
    <col min="11795" max="11795" width="7.21875" style="1073" customWidth="1"/>
    <col min="11796" max="11796" width="13" style="1073" customWidth="1"/>
    <col min="11797" max="11797" width="4" style="1073" customWidth="1"/>
    <col min="11798" max="11798" width="27.5546875" style="1073" bestFit="1" customWidth="1"/>
    <col min="11799" max="11799" width="10.33203125" style="1073" customWidth="1"/>
    <col min="11800" max="11800" width="4.33203125" style="1073" customWidth="1"/>
    <col min="11801" max="11801" width="20.6640625" style="1073" customWidth="1"/>
    <col min="11802" max="11803" width="12.33203125" style="1073" customWidth="1"/>
    <col min="11804" max="11804" width="17.6640625" style="1073" customWidth="1"/>
    <col min="11805" max="11805" width="12.21875" style="1073" customWidth="1"/>
    <col min="11806" max="11807" width="15.109375" style="1073" customWidth="1"/>
    <col min="11808" max="11810" width="8.88671875" style="1073" customWidth="1"/>
    <col min="11811" max="11811" width="32" style="1073" customWidth="1"/>
    <col min="11812" max="11813" width="11.5546875" style="1073" customWidth="1"/>
    <col min="11814" max="11814" width="10.88671875" style="1073" customWidth="1"/>
    <col min="11815" max="11854" width="8.88671875" style="1073" customWidth="1"/>
    <col min="11855" max="12032" width="8.88671875" style="1073"/>
    <col min="12033" max="12033" width="8.88671875" style="1073" customWidth="1"/>
    <col min="12034" max="12034" width="2.88671875" style="1073" customWidth="1"/>
    <col min="12035" max="12035" width="5.21875" style="1073" customWidth="1"/>
    <col min="12036" max="12036" width="20.109375" style="1073" customWidth="1"/>
    <col min="12037" max="12037" width="10.6640625" style="1073" customWidth="1"/>
    <col min="12038" max="12038" width="11.5546875" style="1073" customWidth="1"/>
    <col min="12039" max="12039" width="4.33203125" style="1073" customWidth="1"/>
    <col min="12040" max="12040" width="14.88671875" style="1073" customWidth="1"/>
    <col min="12041" max="12041" width="9" style="1073" customWidth="1"/>
    <col min="12042" max="12042" width="4.77734375" style="1073" customWidth="1"/>
    <col min="12043" max="12043" width="6.21875" style="1073" customWidth="1"/>
    <col min="12044" max="12044" width="7.109375" style="1073" customWidth="1"/>
    <col min="12045" max="12045" width="4.77734375" style="1073" customWidth="1"/>
    <col min="12046" max="12046" width="30.44140625" style="1073" customWidth="1"/>
    <col min="12047" max="12047" width="12.21875" style="1073" customWidth="1"/>
    <col min="12048" max="12048" width="12" style="1073" customWidth="1"/>
    <col min="12049" max="12049" width="4.44140625" style="1073" customWidth="1"/>
    <col min="12050" max="12050" width="10.109375" style="1073" customWidth="1"/>
    <col min="12051" max="12051" width="7.21875" style="1073" customWidth="1"/>
    <col min="12052" max="12052" width="13" style="1073" customWidth="1"/>
    <col min="12053" max="12053" width="4" style="1073" customWidth="1"/>
    <col min="12054" max="12054" width="27.5546875" style="1073" bestFit="1" customWidth="1"/>
    <col min="12055" max="12055" width="10.33203125" style="1073" customWidth="1"/>
    <col min="12056" max="12056" width="4.33203125" style="1073" customWidth="1"/>
    <col min="12057" max="12057" width="20.6640625" style="1073" customWidth="1"/>
    <col min="12058" max="12059" width="12.33203125" style="1073" customWidth="1"/>
    <col min="12060" max="12060" width="17.6640625" style="1073" customWidth="1"/>
    <col min="12061" max="12061" width="12.21875" style="1073" customWidth="1"/>
    <col min="12062" max="12063" width="15.109375" style="1073" customWidth="1"/>
    <col min="12064" max="12066" width="8.88671875" style="1073" customWidth="1"/>
    <col min="12067" max="12067" width="32" style="1073" customWidth="1"/>
    <col min="12068" max="12069" width="11.5546875" style="1073" customWidth="1"/>
    <col min="12070" max="12070" width="10.88671875" style="1073" customWidth="1"/>
    <col min="12071" max="12110" width="8.88671875" style="1073" customWidth="1"/>
    <col min="12111" max="12288" width="8.88671875" style="1073"/>
    <col min="12289" max="12289" width="8.88671875" style="1073" customWidth="1"/>
    <col min="12290" max="12290" width="2.88671875" style="1073" customWidth="1"/>
    <col min="12291" max="12291" width="5.21875" style="1073" customWidth="1"/>
    <col min="12292" max="12292" width="20.109375" style="1073" customWidth="1"/>
    <col min="12293" max="12293" width="10.6640625" style="1073" customWidth="1"/>
    <col min="12294" max="12294" width="11.5546875" style="1073" customWidth="1"/>
    <col min="12295" max="12295" width="4.33203125" style="1073" customWidth="1"/>
    <col min="12296" max="12296" width="14.88671875" style="1073" customWidth="1"/>
    <col min="12297" max="12297" width="9" style="1073" customWidth="1"/>
    <col min="12298" max="12298" width="4.77734375" style="1073" customWidth="1"/>
    <col min="12299" max="12299" width="6.21875" style="1073" customWidth="1"/>
    <col min="12300" max="12300" width="7.109375" style="1073" customWidth="1"/>
    <col min="12301" max="12301" width="4.77734375" style="1073" customWidth="1"/>
    <col min="12302" max="12302" width="30.44140625" style="1073" customWidth="1"/>
    <col min="12303" max="12303" width="12.21875" style="1073" customWidth="1"/>
    <col min="12304" max="12304" width="12" style="1073" customWidth="1"/>
    <col min="12305" max="12305" width="4.44140625" style="1073" customWidth="1"/>
    <col min="12306" max="12306" width="10.109375" style="1073" customWidth="1"/>
    <col min="12307" max="12307" width="7.21875" style="1073" customWidth="1"/>
    <col min="12308" max="12308" width="13" style="1073" customWidth="1"/>
    <col min="12309" max="12309" width="4" style="1073" customWidth="1"/>
    <col min="12310" max="12310" width="27.5546875" style="1073" bestFit="1" customWidth="1"/>
    <col min="12311" max="12311" width="10.33203125" style="1073" customWidth="1"/>
    <col min="12312" max="12312" width="4.33203125" style="1073" customWidth="1"/>
    <col min="12313" max="12313" width="20.6640625" style="1073" customWidth="1"/>
    <col min="12314" max="12315" width="12.33203125" style="1073" customWidth="1"/>
    <col min="12316" max="12316" width="17.6640625" style="1073" customWidth="1"/>
    <col min="12317" max="12317" width="12.21875" style="1073" customWidth="1"/>
    <col min="12318" max="12319" width="15.109375" style="1073" customWidth="1"/>
    <col min="12320" max="12322" width="8.88671875" style="1073" customWidth="1"/>
    <col min="12323" max="12323" width="32" style="1073" customWidth="1"/>
    <col min="12324" max="12325" width="11.5546875" style="1073" customWidth="1"/>
    <col min="12326" max="12326" width="10.88671875" style="1073" customWidth="1"/>
    <col min="12327" max="12366" width="8.88671875" style="1073" customWidth="1"/>
    <col min="12367" max="12544" width="8.88671875" style="1073"/>
    <col min="12545" max="12545" width="8.88671875" style="1073" customWidth="1"/>
    <col min="12546" max="12546" width="2.88671875" style="1073" customWidth="1"/>
    <col min="12547" max="12547" width="5.21875" style="1073" customWidth="1"/>
    <col min="12548" max="12548" width="20.109375" style="1073" customWidth="1"/>
    <col min="12549" max="12549" width="10.6640625" style="1073" customWidth="1"/>
    <col min="12550" max="12550" width="11.5546875" style="1073" customWidth="1"/>
    <col min="12551" max="12551" width="4.33203125" style="1073" customWidth="1"/>
    <col min="12552" max="12552" width="14.88671875" style="1073" customWidth="1"/>
    <col min="12553" max="12553" width="9" style="1073" customWidth="1"/>
    <col min="12554" max="12554" width="4.77734375" style="1073" customWidth="1"/>
    <col min="12555" max="12555" width="6.21875" style="1073" customWidth="1"/>
    <col min="12556" max="12556" width="7.109375" style="1073" customWidth="1"/>
    <col min="12557" max="12557" width="4.77734375" style="1073" customWidth="1"/>
    <col min="12558" max="12558" width="30.44140625" style="1073" customWidth="1"/>
    <col min="12559" max="12559" width="12.21875" style="1073" customWidth="1"/>
    <col min="12560" max="12560" width="12" style="1073" customWidth="1"/>
    <col min="12561" max="12561" width="4.44140625" style="1073" customWidth="1"/>
    <col min="12562" max="12562" width="10.109375" style="1073" customWidth="1"/>
    <col min="12563" max="12563" width="7.21875" style="1073" customWidth="1"/>
    <col min="12564" max="12564" width="13" style="1073" customWidth="1"/>
    <col min="12565" max="12565" width="4" style="1073" customWidth="1"/>
    <col min="12566" max="12566" width="27.5546875" style="1073" bestFit="1" customWidth="1"/>
    <col min="12567" max="12567" width="10.33203125" style="1073" customWidth="1"/>
    <col min="12568" max="12568" width="4.33203125" style="1073" customWidth="1"/>
    <col min="12569" max="12569" width="20.6640625" style="1073" customWidth="1"/>
    <col min="12570" max="12571" width="12.33203125" style="1073" customWidth="1"/>
    <col min="12572" max="12572" width="17.6640625" style="1073" customWidth="1"/>
    <col min="12573" max="12573" width="12.21875" style="1073" customWidth="1"/>
    <col min="12574" max="12575" width="15.109375" style="1073" customWidth="1"/>
    <col min="12576" max="12578" width="8.88671875" style="1073" customWidth="1"/>
    <col min="12579" max="12579" width="32" style="1073" customWidth="1"/>
    <col min="12580" max="12581" width="11.5546875" style="1073" customWidth="1"/>
    <col min="12582" max="12582" width="10.88671875" style="1073" customWidth="1"/>
    <col min="12583" max="12622" width="8.88671875" style="1073" customWidth="1"/>
    <col min="12623" max="12800" width="8.88671875" style="1073"/>
    <col min="12801" max="12801" width="8.88671875" style="1073" customWidth="1"/>
    <col min="12802" max="12802" width="2.88671875" style="1073" customWidth="1"/>
    <col min="12803" max="12803" width="5.21875" style="1073" customWidth="1"/>
    <col min="12804" max="12804" width="20.109375" style="1073" customWidth="1"/>
    <col min="12805" max="12805" width="10.6640625" style="1073" customWidth="1"/>
    <col min="12806" max="12806" width="11.5546875" style="1073" customWidth="1"/>
    <col min="12807" max="12807" width="4.33203125" style="1073" customWidth="1"/>
    <col min="12808" max="12808" width="14.88671875" style="1073" customWidth="1"/>
    <col min="12809" max="12809" width="9" style="1073" customWidth="1"/>
    <col min="12810" max="12810" width="4.77734375" style="1073" customWidth="1"/>
    <col min="12811" max="12811" width="6.21875" style="1073" customWidth="1"/>
    <col min="12812" max="12812" width="7.109375" style="1073" customWidth="1"/>
    <col min="12813" max="12813" width="4.77734375" style="1073" customWidth="1"/>
    <col min="12814" max="12814" width="30.44140625" style="1073" customWidth="1"/>
    <col min="12815" max="12815" width="12.21875" style="1073" customWidth="1"/>
    <col min="12816" max="12816" width="12" style="1073" customWidth="1"/>
    <col min="12817" max="12817" width="4.44140625" style="1073" customWidth="1"/>
    <col min="12818" max="12818" width="10.109375" style="1073" customWidth="1"/>
    <col min="12819" max="12819" width="7.21875" style="1073" customWidth="1"/>
    <col min="12820" max="12820" width="13" style="1073" customWidth="1"/>
    <col min="12821" max="12821" width="4" style="1073" customWidth="1"/>
    <col min="12822" max="12822" width="27.5546875" style="1073" bestFit="1" customWidth="1"/>
    <col min="12823" max="12823" width="10.33203125" style="1073" customWidth="1"/>
    <col min="12824" max="12824" width="4.33203125" style="1073" customWidth="1"/>
    <col min="12825" max="12825" width="20.6640625" style="1073" customWidth="1"/>
    <col min="12826" max="12827" width="12.33203125" style="1073" customWidth="1"/>
    <col min="12828" max="12828" width="17.6640625" style="1073" customWidth="1"/>
    <col min="12829" max="12829" width="12.21875" style="1073" customWidth="1"/>
    <col min="12830" max="12831" width="15.109375" style="1073" customWidth="1"/>
    <col min="12832" max="12834" width="8.88671875" style="1073" customWidth="1"/>
    <col min="12835" max="12835" width="32" style="1073" customWidth="1"/>
    <col min="12836" max="12837" width="11.5546875" style="1073" customWidth="1"/>
    <col min="12838" max="12838" width="10.88671875" style="1073" customWidth="1"/>
    <col min="12839" max="12878" width="8.88671875" style="1073" customWidth="1"/>
    <col min="12879" max="13056" width="8.88671875" style="1073"/>
    <col min="13057" max="13057" width="8.88671875" style="1073" customWidth="1"/>
    <col min="13058" max="13058" width="2.88671875" style="1073" customWidth="1"/>
    <col min="13059" max="13059" width="5.21875" style="1073" customWidth="1"/>
    <col min="13060" max="13060" width="20.109375" style="1073" customWidth="1"/>
    <col min="13061" max="13061" width="10.6640625" style="1073" customWidth="1"/>
    <col min="13062" max="13062" width="11.5546875" style="1073" customWidth="1"/>
    <col min="13063" max="13063" width="4.33203125" style="1073" customWidth="1"/>
    <col min="13064" max="13064" width="14.88671875" style="1073" customWidth="1"/>
    <col min="13065" max="13065" width="9" style="1073" customWidth="1"/>
    <col min="13066" max="13066" width="4.77734375" style="1073" customWidth="1"/>
    <col min="13067" max="13067" width="6.21875" style="1073" customWidth="1"/>
    <col min="13068" max="13068" width="7.109375" style="1073" customWidth="1"/>
    <col min="13069" max="13069" width="4.77734375" style="1073" customWidth="1"/>
    <col min="13070" max="13070" width="30.44140625" style="1073" customWidth="1"/>
    <col min="13071" max="13071" width="12.21875" style="1073" customWidth="1"/>
    <col min="13072" max="13072" width="12" style="1073" customWidth="1"/>
    <col min="13073" max="13073" width="4.44140625" style="1073" customWidth="1"/>
    <col min="13074" max="13074" width="10.109375" style="1073" customWidth="1"/>
    <col min="13075" max="13075" width="7.21875" style="1073" customWidth="1"/>
    <col min="13076" max="13076" width="13" style="1073" customWidth="1"/>
    <col min="13077" max="13077" width="4" style="1073" customWidth="1"/>
    <col min="13078" max="13078" width="27.5546875" style="1073" bestFit="1" customWidth="1"/>
    <col min="13079" max="13079" width="10.33203125" style="1073" customWidth="1"/>
    <col min="13080" max="13080" width="4.33203125" style="1073" customWidth="1"/>
    <col min="13081" max="13081" width="20.6640625" style="1073" customWidth="1"/>
    <col min="13082" max="13083" width="12.33203125" style="1073" customWidth="1"/>
    <col min="13084" max="13084" width="17.6640625" style="1073" customWidth="1"/>
    <col min="13085" max="13085" width="12.21875" style="1073" customWidth="1"/>
    <col min="13086" max="13087" width="15.109375" style="1073" customWidth="1"/>
    <col min="13088" max="13090" width="8.88671875" style="1073" customWidth="1"/>
    <col min="13091" max="13091" width="32" style="1073" customWidth="1"/>
    <col min="13092" max="13093" width="11.5546875" style="1073" customWidth="1"/>
    <col min="13094" max="13094" width="10.88671875" style="1073" customWidth="1"/>
    <col min="13095" max="13134" width="8.88671875" style="1073" customWidth="1"/>
    <col min="13135" max="13312" width="8.88671875" style="1073"/>
    <col min="13313" max="13313" width="8.88671875" style="1073" customWidth="1"/>
    <col min="13314" max="13314" width="2.88671875" style="1073" customWidth="1"/>
    <col min="13315" max="13315" width="5.21875" style="1073" customWidth="1"/>
    <col min="13316" max="13316" width="20.109375" style="1073" customWidth="1"/>
    <col min="13317" max="13317" width="10.6640625" style="1073" customWidth="1"/>
    <col min="13318" max="13318" width="11.5546875" style="1073" customWidth="1"/>
    <col min="13319" max="13319" width="4.33203125" style="1073" customWidth="1"/>
    <col min="13320" max="13320" width="14.88671875" style="1073" customWidth="1"/>
    <col min="13321" max="13321" width="9" style="1073" customWidth="1"/>
    <col min="13322" max="13322" width="4.77734375" style="1073" customWidth="1"/>
    <col min="13323" max="13323" width="6.21875" style="1073" customWidth="1"/>
    <col min="13324" max="13324" width="7.109375" style="1073" customWidth="1"/>
    <col min="13325" max="13325" width="4.77734375" style="1073" customWidth="1"/>
    <col min="13326" max="13326" width="30.44140625" style="1073" customWidth="1"/>
    <col min="13327" max="13327" width="12.21875" style="1073" customWidth="1"/>
    <col min="13328" max="13328" width="12" style="1073" customWidth="1"/>
    <col min="13329" max="13329" width="4.44140625" style="1073" customWidth="1"/>
    <col min="13330" max="13330" width="10.109375" style="1073" customWidth="1"/>
    <col min="13331" max="13331" width="7.21875" style="1073" customWidth="1"/>
    <col min="13332" max="13332" width="13" style="1073" customWidth="1"/>
    <col min="13333" max="13333" width="4" style="1073" customWidth="1"/>
    <col min="13334" max="13334" width="27.5546875" style="1073" bestFit="1" customWidth="1"/>
    <col min="13335" max="13335" width="10.33203125" style="1073" customWidth="1"/>
    <col min="13336" max="13336" width="4.33203125" style="1073" customWidth="1"/>
    <col min="13337" max="13337" width="20.6640625" style="1073" customWidth="1"/>
    <col min="13338" max="13339" width="12.33203125" style="1073" customWidth="1"/>
    <col min="13340" max="13340" width="17.6640625" style="1073" customWidth="1"/>
    <col min="13341" max="13341" width="12.21875" style="1073" customWidth="1"/>
    <col min="13342" max="13343" width="15.109375" style="1073" customWidth="1"/>
    <col min="13344" max="13346" width="8.88671875" style="1073" customWidth="1"/>
    <col min="13347" max="13347" width="32" style="1073" customWidth="1"/>
    <col min="13348" max="13349" width="11.5546875" style="1073" customWidth="1"/>
    <col min="13350" max="13350" width="10.88671875" style="1073" customWidth="1"/>
    <col min="13351" max="13390" width="8.88671875" style="1073" customWidth="1"/>
    <col min="13391" max="13568" width="8.88671875" style="1073"/>
    <col min="13569" max="13569" width="8.88671875" style="1073" customWidth="1"/>
    <col min="13570" max="13570" width="2.88671875" style="1073" customWidth="1"/>
    <col min="13571" max="13571" width="5.21875" style="1073" customWidth="1"/>
    <col min="13572" max="13572" width="20.109375" style="1073" customWidth="1"/>
    <col min="13573" max="13573" width="10.6640625" style="1073" customWidth="1"/>
    <col min="13574" max="13574" width="11.5546875" style="1073" customWidth="1"/>
    <col min="13575" max="13575" width="4.33203125" style="1073" customWidth="1"/>
    <col min="13576" max="13576" width="14.88671875" style="1073" customWidth="1"/>
    <col min="13577" max="13577" width="9" style="1073" customWidth="1"/>
    <col min="13578" max="13578" width="4.77734375" style="1073" customWidth="1"/>
    <col min="13579" max="13579" width="6.21875" style="1073" customWidth="1"/>
    <col min="13580" max="13580" width="7.109375" style="1073" customWidth="1"/>
    <col min="13581" max="13581" width="4.77734375" style="1073" customWidth="1"/>
    <col min="13582" max="13582" width="30.44140625" style="1073" customWidth="1"/>
    <col min="13583" max="13583" width="12.21875" style="1073" customWidth="1"/>
    <col min="13584" max="13584" width="12" style="1073" customWidth="1"/>
    <col min="13585" max="13585" width="4.44140625" style="1073" customWidth="1"/>
    <col min="13586" max="13586" width="10.109375" style="1073" customWidth="1"/>
    <col min="13587" max="13587" width="7.21875" style="1073" customWidth="1"/>
    <col min="13588" max="13588" width="13" style="1073" customWidth="1"/>
    <col min="13589" max="13589" width="4" style="1073" customWidth="1"/>
    <col min="13590" max="13590" width="27.5546875" style="1073" bestFit="1" customWidth="1"/>
    <col min="13591" max="13591" width="10.33203125" style="1073" customWidth="1"/>
    <col min="13592" max="13592" width="4.33203125" style="1073" customWidth="1"/>
    <col min="13593" max="13593" width="20.6640625" style="1073" customWidth="1"/>
    <col min="13594" max="13595" width="12.33203125" style="1073" customWidth="1"/>
    <col min="13596" max="13596" width="17.6640625" style="1073" customWidth="1"/>
    <col min="13597" max="13597" width="12.21875" style="1073" customWidth="1"/>
    <col min="13598" max="13599" width="15.109375" style="1073" customWidth="1"/>
    <col min="13600" max="13602" width="8.88671875" style="1073" customWidth="1"/>
    <col min="13603" max="13603" width="32" style="1073" customWidth="1"/>
    <col min="13604" max="13605" width="11.5546875" style="1073" customWidth="1"/>
    <col min="13606" max="13606" width="10.88671875" style="1073" customWidth="1"/>
    <col min="13607" max="13646" width="8.88671875" style="1073" customWidth="1"/>
    <col min="13647" max="13824" width="8.88671875" style="1073"/>
    <col min="13825" max="13825" width="8.88671875" style="1073" customWidth="1"/>
    <col min="13826" max="13826" width="2.88671875" style="1073" customWidth="1"/>
    <col min="13827" max="13827" width="5.21875" style="1073" customWidth="1"/>
    <col min="13828" max="13828" width="20.109375" style="1073" customWidth="1"/>
    <col min="13829" max="13829" width="10.6640625" style="1073" customWidth="1"/>
    <col min="13830" max="13830" width="11.5546875" style="1073" customWidth="1"/>
    <col min="13831" max="13831" width="4.33203125" style="1073" customWidth="1"/>
    <col min="13832" max="13832" width="14.88671875" style="1073" customWidth="1"/>
    <col min="13833" max="13833" width="9" style="1073" customWidth="1"/>
    <col min="13834" max="13834" width="4.77734375" style="1073" customWidth="1"/>
    <col min="13835" max="13835" width="6.21875" style="1073" customWidth="1"/>
    <col min="13836" max="13836" width="7.109375" style="1073" customWidth="1"/>
    <col min="13837" max="13837" width="4.77734375" style="1073" customWidth="1"/>
    <col min="13838" max="13838" width="30.44140625" style="1073" customWidth="1"/>
    <col min="13839" max="13839" width="12.21875" style="1073" customWidth="1"/>
    <col min="13840" max="13840" width="12" style="1073" customWidth="1"/>
    <col min="13841" max="13841" width="4.44140625" style="1073" customWidth="1"/>
    <col min="13842" max="13842" width="10.109375" style="1073" customWidth="1"/>
    <col min="13843" max="13843" width="7.21875" style="1073" customWidth="1"/>
    <col min="13844" max="13844" width="13" style="1073" customWidth="1"/>
    <col min="13845" max="13845" width="4" style="1073" customWidth="1"/>
    <col min="13846" max="13846" width="27.5546875" style="1073" bestFit="1" customWidth="1"/>
    <col min="13847" max="13847" width="10.33203125" style="1073" customWidth="1"/>
    <col min="13848" max="13848" width="4.33203125" style="1073" customWidth="1"/>
    <col min="13849" max="13849" width="20.6640625" style="1073" customWidth="1"/>
    <col min="13850" max="13851" width="12.33203125" style="1073" customWidth="1"/>
    <col min="13852" max="13852" width="17.6640625" style="1073" customWidth="1"/>
    <col min="13853" max="13853" width="12.21875" style="1073" customWidth="1"/>
    <col min="13854" max="13855" width="15.109375" style="1073" customWidth="1"/>
    <col min="13856" max="13858" width="8.88671875" style="1073" customWidth="1"/>
    <col min="13859" max="13859" width="32" style="1073" customWidth="1"/>
    <col min="13860" max="13861" width="11.5546875" style="1073" customWidth="1"/>
    <col min="13862" max="13862" width="10.88671875" style="1073" customWidth="1"/>
    <col min="13863" max="13902" width="8.88671875" style="1073" customWidth="1"/>
    <col min="13903" max="14080" width="8.88671875" style="1073"/>
    <col min="14081" max="14081" width="8.88671875" style="1073" customWidth="1"/>
    <col min="14082" max="14082" width="2.88671875" style="1073" customWidth="1"/>
    <col min="14083" max="14083" width="5.21875" style="1073" customWidth="1"/>
    <col min="14084" max="14084" width="20.109375" style="1073" customWidth="1"/>
    <col min="14085" max="14085" width="10.6640625" style="1073" customWidth="1"/>
    <col min="14086" max="14086" width="11.5546875" style="1073" customWidth="1"/>
    <col min="14087" max="14087" width="4.33203125" style="1073" customWidth="1"/>
    <col min="14088" max="14088" width="14.88671875" style="1073" customWidth="1"/>
    <col min="14089" max="14089" width="9" style="1073" customWidth="1"/>
    <col min="14090" max="14090" width="4.77734375" style="1073" customWidth="1"/>
    <col min="14091" max="14091" width="6.21875" style="1073" customWidth="1"/>
    <col min="14092" max="14092" width="7.109375" style="1073" customWidth="1"/>
    <col min="14093" max="14093" width="4.77734375" style="1073" customWidth="1"/>
    <col min="14094" max="14094" width="30.44140625" style="1073" customWidth="1"/>
    <col min="14095" max="14095" width="12.21875" style="1073" customWidth="1"/>
    <col min="14096" max="14096" width="12" style="1073" customWidth="1"/>
    <col min="14097" max="14097" width="4.44140625" style="1073" customWidth="1"/>
    <col min="14098" max="14098" width="10.109375" style="1073" customWidth="1"/>
    <col min="14099" max="14099" width="7.21875" style="1073" customWidth="1"/>
    <col min="14100" max="14100" width="13" style="1073" customWidth="1"/>
    <col min="14101" max="14101" width="4" style="1073" customWidth="1"/>
    <col min="14102" max="14102" width="27.5546875" style="1073" bestFit="1" customWidth="1"/>
    <col min="14103" max="14103" width="10.33203125" style="1073" customWidth="1"/>
    <col min="14104" max="14104" width="4.33203125" style="1073" customWidth="1"/>
    <col min="14105" max="14105" width="20.6640625" style="1073" customWidth="1"/>
    <col min="14106" max="14107" width="12.33203125" style="1073" customWidth="1"/>
    <col min="14108" max="14108" width="17.6640625" style="1073" customWidth="1"/>
    <col min="14109" max="14109" width="12.21875" style="1073" customWidth="1"/>
    <col min="14110" max="14111" width="15.109375" style="1073" customWidth="1"/>
    <col min="14112" max="14114" width="8.88671875" style="1073" customWidth="1"/>
    <col min="14115" max="14115" width="32" style="1073" customWidth="1"/>
    <col min="14116" max="14117" width="11.5546875" style="1073" customWidth="1"/>
    <col min="14118" max="14118" width="10.88671875" style="1073" customWidth="1"/>
    <col min="14119" max="14158" width="8.88671875" style="1073" customWidth="1"/>
    <col min="14159" max="14336" width="8.88671875" style="1073"/>
    <col min="14337" max="14337" width="8.88671875" style="1073" customWidth="1"/>
    <col min="14338" max="14338" width="2.88671875" style="1073" customWidth="1"/>
    <col min="14339" max="14339" width="5.21875" style="1073" customWidth="1"/>
    <col min="14340" max="14340" width="20.109375" style="1073" customWidth="1"/>
    <col min="14341" max="14341" width="10.6640625" style="1073" customWidth="1"/>
    <col min="14342" max="14342" width="11.5546875" style="1073" customWidth="1"/>
    <col min="14343" max="14343" width="4.33203125" style="1073" customWidth="1"/>
    <col min="14344" max="14344" width="14.88671875" style="1073" customWidth="1"/>
    <col min="14345" max="14345" width="9" style="1073" customWidth="1"/>
    <col min="14346" max="14346" width="4.77734375" style="1073" customWidth="1"/>
    <col min="14347" max="14347" width="6.21875" style="1073" customWidth="1"/>
    <col min="14348" max="14348" width="7.109375" style="1073" customWidth="1"/>
    <col min="14349" max="14349" width="4.77734375" style="1073" customWidth="1"/>
    <col min="14350" max="14350" width="30.44140625" style="1073" customWidth="1"/>
    <col min="14351" max="14351" width="12.21875" style="1073" customWidth="1"/>
    <col min="14352" max="14352" width="12" style="1073" customWidth="1"/>
    <col min="14353" max="14353" width="4.44140625" style="1073" customWidth="1"/>
    <col min="14354" max="14354" width="10.109375" style="1073" customWidth="1"/>
    <col min="14355" max="14355" width="7.21875" style="1073" customWidth="1"/>
    <col min="14356" max="14356" width="13" style="1073" customWidth="1"/>
    <col min="14357" max="14357" width="4" style="1073" customWidth="1"/>
    <col min="14358" max="14358" width="27.5546875" style="1073" bestFit="1" customWidth="1"/>
    <col min="14359" max="14359" width="10.33203125" style="1073" customWidth="1"/>
    <col min="14360" max="14360" width="4.33203125" style="1073" customWidth="1"/>
    <col min="14361" max="14361" width="20.6640625" style="1073" customWidth="1"/>
    <col min="14362" max="14363" width="12.33203125" style="1073" customWidth="1"/>
    <col min="14364" max="14364" width="17.6640625" style="1073" customWidth="1"/>
    <col min="14365" max="14365" width="12.21875" style="1073" customWidth="1"/>
    <col min="14366" max="14367" width="15.109375" style="1073" customWidth="1"/>
    <col min="14368" max="14370" width="8.88671875" style="1073" customWidth="1"/>
    <col min="14371" max="14371" width="32" style="1073" customWidth="1"/>
    <col min="14372" max="14373" width="11.5546875" style="1073" customWidth="1"/>
    <col min="14374" max="14374" width="10.88671875" style="1073" customWidth="1"/>
    <col min="14375" max="14414" width="8.88671875" style="1073" customWidth="1"/>
    <col min="14415" max="14592" width="8.88671875" style="1073"/>
    <col min="14593" max="14593" width="8.88671875" style="1073" customWidth="1"/>
    <col min="14594" max="14594" width="2.88671875" style="1073" customWidth="1"/>
    <col min="14595" max="14595" width="5.21875" style="1073" customWidth="1"/>
    <col min="14596" max="14596" width="20.109375" style="1073" customWidth="1"/>
    <col min="14597" max="14597" width="10.6640625" style="1073" customWidth="1"/>
    <col min="14598" max="14598" width="11.5546875" style="1073" customWidth="1"/>
    <col min="14599" max="14599" width="4.33203125" style="1073" customWidth="1"/>
    <col min="14600" max="14600" width="14.88671875" style="1073" customWidth="1"/>
    <col min="14601" max="14601" width="9" style="1073" customWidth="1"/>
    <col min="14602" max="14602" width="4.77734375" style="1073" customWidth="1"/>
    <col min="14603" max="14603" width="6.21875" style="1073" customWidth="1"/>
    <col min="14604" max="14604" width="7.109375" style="1073" customWidth="1"/>
    <col min="14605" max="14605" width="4.77734375" style="1073" customWidth="1"/>
    <col min="14606" max="14606" width="30.44140625" style="1073" customWidth="1"/>
    <col min="14607" max="14607" width="12.21875" style="1073" customWidth="1"/>
    <col min="14608" max="14608" width="12" style="1073" customWidth="1"/>
    <col min="14609" max="14609" width="4.44140625" style="1073" customWidth="1"/>
    <col min="14610" max="14610" width="10.109375" style="1073" customWidth="1"/>
    <col min="14611" max="14611" width="7.21875" style="1073" customWidth="1"/>
    <col min="14612" max="14612" width="13" style="1073" customWidth="1"/>
    <col min="14613" max="14613" width="4" style="1073" customWidth="1"/>
    <col min="14614" max="14614" width="27.5546875" style="1073" bestFit="1" customWidth="1"/>
    <col min="14615" max="14615" width="10.33203125" style="1073" customWidth="1"/>
    <col min="14616" max="14616" width="4.33203125" style="1073" customWidth="1"/>
    <col min="14617" max="14617" width="20.6640625" style="1073" customWidth="1"/>
    <col min="14618" max="14619" width="12.33203125" style="1073" customWidth="1"/>
    <col min="14620" max="14620" width="17.6640625" style="1073" customWidth="1"/>
    <col min="14621" max="14621" width="12.21875" style="1073" customWidth="1"/>
    <col min="14622" max="14623" width="15.109375" style="1073" customWidth="1"/>
    <col min="14624" max="14626" width="8.88671875" style="1073" customWidth="1"/>
    <col min="14627" max="14627" width="32" style="1073" customWidth="1"/>
    <col min="14628" max="14629" width="11.5546875" style="1073" customWidth="1"/>
    <col min="14630" max="14630" width="10.88671875" style="1073" customWidth="1"/>
    <col min="14631" max="14670" width="8.88671875" style="1073" customWidth="1"/>
    <col min="14671" max="14848" width="8.88671875" style="1073"/>
    <col min="14849" max="14849" width="8.88671875" style="1073" customWidth="1"/>
    <col min="14850" max="14850" width="2.88671875" style="1073" customWidth="1"/>
    <col min="14851" max="14851" width="5.21875" style="1073" customWidth="1"/>
    <col min="14852" max="14852" width="20.109375" style="1073" customWidth="1"/>
    <col min="14853" max="14853" width="10.6640625" style="1073" customWidth="1"/>
    <col min="14854" max="14854" width="11.5546875" style="1073" customWidth="1"/>
    <col min="14855" max="14855" width="4.33203125" style="1073" customWidth="1"/>
    <col min="14856" max="14856" width="14.88671875" style="1073" customWidth="1"/>
    <col min="14857" max="14857" width="9" style="1073" customWidth="1"/>
    <col min="14858" max="14858" width="4.77734375" style="1073" customWidth="1"/>
    <col min="14859" max="14859" width="6.21875" style="1073" customWidth="1"/>
    <col min="14860" max="14860" width="7.109375" style="1073" customWidth="1"/>
    <col min="14861" max="14861" width="4.77734375" style="1073" customWidth="1"/>
    <col min="14862" max="14862" width="30.44140625" style="1073" customWidth="1"/>
    <col min="14863" max="14863" width="12.21875" style="1073" customWidth="1"/>
    <col min="14864" max="14864" width="12" style="1073" customWidth="1"/>
    <col min="14865" max="14865" width="4.44140625" style="1073" customWidth="1"/>
    <col min="14866" max="14866" width="10.109375" style="1073" customWidth="1"/>
    <col min="14867" max="14867" width="7.21875" style="1073" customWidth="1"/>
    <col min="14868" max="14868" width="13" style="1073" customWidth="1"/>
    <col min="14869" max="14869" width="4" style="1073" customWidth="1"/>
    <col min="14870" max="14870" width="27.5546875" style="1073" bestFit="1" customWidth="1"/>
    <col min="14871" max="14871" width="10.33203125" style="1073" customWidth="1"/>
    <col min="14872" max="14872" width="4.33203125" style="1073" customWidth="1"/>
    <col min="14873" max="14873" width="20.6640625" style="1073" customWidth="1"/>
    <col min="14874" max="14875" width="12.33203125" style="1073" customWidth="1"/>
    <col min="14876" max="14876" width="17.6640625" style="1073" customWidth="1"/>
    <col min="14877" max="14877" width="12.21875" style="1073" customWidth="1"/>
    <col min="14878" max="14879" width="15.109375" style="1073" customWidth="1"/>
    <col min="14880" max="14882" width="8.88671875" style="1073" customWidth="1"/>
    <col min="14883" max="14883" width="32" style="1073" customWidth="1"/>
    <col min="14884" max="14885" width="11.5546875" style="1073" customWidth="1"/>
    <col min="14886" max="14886" width="10.88671875" style="1073" customWidth="1"/>
    <col min="14887" max="14926" width="8.88671875" style="1073" customWidth="1"/>
    <col min="14927" max="15104" width="8.88671875" style="1073"/>
    <col min="15105" max="15105" width="8.88671875" style="1073" customWidth="1"/>
    <col min="15106" max="15106" width="2.88671875" style="1073" customWidth="1"/>
    <col min="15107" max="15107" width="5.21875" style="1073" customWidth="1"/>
    <col min="15108" max="15108" width="20.109375" style="1073" customWidth="1"/>
    <col min="15109" max="15109" width="10.6640625" style="1073" customWidth="1"/>
    <col min="15110" max="15110" width="11.5546875" style="1073" customWidth="1"/>
    <col min="15111" max="15111" width="4.33203125" style="1073" customWidth="1"/>
    <col min="15112" max="15112" width="14.88671875" style="1073" customWidth="1"/>
    <col min="15113" max="15113" width="9" style="1073" customWidth="1"/>
    <col min="15114" max="15114" width="4.77734375" style="1073" customWidth="1"/>
    <col min="15115" max="15115" width="6.21875" style="1073" customWidth="1"/>
    <col min="15116" max="15116" width="7.109375" style="1073" customWidth="1"/>
    <col min="15117" max="15117" width="4.77734375" style="1073" customWidth="1"/>
    <col min="15118" max="15118" width="30.44140625" style="1073" customWidth="1"/>
    <col min="15119" max="15119" width="12.21875" style="1073" customWidth="1"/>
    <col min="15120" max="15120" width="12" style="1073" customWidth="1"/>
    <col min="15121" max="15121" width="4.44140625" style="1073" customWidth="1"/>
    <col min="15122" max="15122" width="10.109375" style="1073" customWidth="1"/>
    <col min="15123" max="15123" width="7.21875" style="1073" customWidth="1"/>
    <col min="15124" max="15124" width="13" style="1073" customWidth="1"/>
    <col min="15125" max="15125" width="4" style="1073" customWidth="1"/>
    <col min="15126" max="15126" width="27.5546875" style="1073" bestFit="1" customWidth="1"/>
    <col min="15127" max="15127" width="10.33203125" style="1073" customWidth="1"/>
    <col min="15128" max="15128" width="4.33203125" style="1073" customWidth="1"/>
    <col min="15129" max="15129" width="20.6640625" style="1073" customWidth="1"/>
    <col min="15130" max="15131" width="12.33203125" style="1073" customWidth="1"/>
    <col min="15132" max="15132" width="17.6640625" style="1073" customWidth="1"/>
    <col min="15133" max="15133" width="12.21875" style="1073" customWidth="1"/>
    <col min="15134" max="15135" width="15.109375" style="1073" customWidth="1"/>
    <col min="15136" max="15138" width="8.88671875" style="1073" customWidth="1"/>
    <col min="15139" max="15139" width="32" style="1073" customWidth="1"/>
    <col min="15140" max="15141" width="11.5546875" style="1073" customWidth="1"/>
    <col min="15142" max="15142" width="10.88671875" style="1073" customWidth="1"/>
    <col min="15143" max="15182" width="8.88671875" style="1073" customWidth="1"/>
    <col min="15183" max="15360" width="8.88671875" style="1073"/>
    <col min="15361" max="15361" width="8.88671875" style="1073" customWidth="1"/>
    <col min="15362" max="15362" width="2.88671875" style="1073" customWidth="1"/>
    <col min="15363" max="15363" width="5.21875" style="1073" customWidth="1"/>
    <col min="15364" max="15364" width="20.109375" style="1073" customWidth="1"/>
    <col min="15365" max="15365" width="10.6640625" style="1073" customWidth="1"/>
    <col min="15366" max="15366" width="11.5546875" style="1073" customWidth="1"/>
    <col min="15367" max="15367" width="4.33203125" style="1073" customWidth="1"/>
    <col min="15368" max="15368" width="14.88671875" style="1073" customWidth="1"/>
    <col min="15369" max="15369" width="9" style="1073" customWidth="1"/>
    <col min="15370" max="15370" width="4.77734375" style="1073" customWidth="1"/>
    <col min="15371" max="15371" width="6.21875" style="1073" customWidth="1"/>
    <col min="15372" max="15372" width="7.109375" style="1073" customWidth="1"/>
    <col min="15373" max="15373" width="4.77734375" style="1073" customWidth="1"/>
    <col min="15374" max="15374" width="30.44140625" style="1073" customWidth="1"/>
    <col min="15375" max="15375" width="12.21875" style="1073" customWidth="1"/>
    <col min="15376" max="15376" width="12" style="1073" customWidth="1"/>
    <col min="15377" max="15377" width="4.44140625" style="1073" customWidth="1"/>
    <col min="15378" max="15378" width="10.109375" style="1073" customWidth="1"/>
    <col min="15379" max="15379" width="7.21875" style="1073" customWidth="1"/>
    <col min="15380" max="15380" width="13" style="1073" customWidth="1"/>
    <col min="15381" max="15381" width="4" style="1073" customWidth="1"/>
    <col min="15382" max="15382" width="27.5546875" style="1073" bestFit="1" customWidth="1"/>
    <col min="15383" max="15383" width="10.33203125" style="1073" customWidth="1"/>
    <col min="15384" max="15384" width="4.33203125" style="1073" customWidth="1"/>
    <col min="15385" max="15385" width="20.6640625" style="1073" customWidth="1"/>
    <col min="15386" max="15387" width="12.33203125" style="1073" customWidth="1"/>
    <col min="15388" max="15388" width="17.6640625" style="1073" customWidth="1"/>
    <col min="15389" max="15389" width="12.21875" style="1073" customWidth="1"/>
    <col min="15390" max="15391" width="15.109375" style="1073" customWidth="1"/>
    <col min="15392" max="15394" width="8.88671875" style="1073" customWidth="1"/>
    <col min="15395" max="15395" width="32" style="1073" customWidth="1"/>
    <col min="15396" max="15397" width="11.5546875" style="1073" customWidth="1"/>
    <col min="15398" max="15398" width="10.88671875" style="1073" customWidth="1"/>
    <col min="15399" max="15438" width="8.88671875" style="1073" customWidth="1"/>
    <col min="15439" max="15616" width="8.88671875" style="1073"/>
    <col min="15617" max="15617" width="8.88671875" style="1073" customWidth="1"/>
    <col min="15618" max="15618" width="2.88671875" style="1073" customWidth="1"/>
    <col min="15619" max="15619" width="5.21875" style="1073" customWidth="1"/>
    <col min="15620" max="15620" width="20.109375" style="1073" customWidth="1"/>
    <col min="15621" max="15621" width="10.6640625" style="1073" customWidth="1"/>
    <col min="15622" max="15622" width="11.5546875" style="1073" customWidth="1"/>
    <col min="15623" max="15623" width="4.33203125" style="1073" customWidth="1"/>
    <col min="15624" max="15624" width="14.88671875" style="1073" customWidth="1"/>
    <col min="15625" max="15625" width="9" style="1073" customWidth="1"/>
    <col min="15626" max="15626" width="4.77734375" style="1073" customWidth="1"/>
    <col min="15627" max="15627" width="6.21875" style="1073" customWidth="1"/>
    <col min="15628" max="15628" width="7.109375" style="1073" customWidth="1"/>
    <col min="15629" max="15629" width="4.77734375" style="1073" customWidth="1"/>
    <col min="15630" max="15630" width="30.44140625" style="1073" customWidth="1"/>
    <col min="15631" max="15631" width="12.21875" style="1073" customWidth="1"/>
    <col min="15632" max="15632" width="12" style="1073" customWidth="1"/>
    <col min="15633" max="15633" width="4.44140625" style="1073" customWidth="1"/>
    <col min="15634" max="15634" width="10.109375" style="1073" customWidth="1"/>
    <col min="15635" max="15635" width="7.21875" style="1073" customWidth="1"/>
    <col min="15636" max="15636" width="13" style="1073" customWidth="1"/>
    <col min="15637" max="15637" width="4" style="1073" customWidth="1"/>
    <col min="15638" max="15638" width="27.5546875" style="1073" bestFit="1" customWidth="1"/>
    <col min="15639" max="15639" width="10.33203125" style="1073" customWidth="1"/>
    <col min="15640" max="15640" width="4.33203125" style="1073" customWidth="1"/>
    <col min="15641" max="15641" width="20.6640625" style="1073" customWidth="1"/>
    <col min="15642" max="15643" width="12.33203125" style="1073" customWidth="1"/>
    <col min="15644" max="15644" width="17.6640625" style="1073" customWidth="1"/>
    <col min="15645" max="15645" width="12.21875" style="1073" customWidth="1"/>
    <col min="15646" max="15647" width="15.109375" style="1073" customWidth="1"/>
    <col min="15648" max="15650" width="8.88671875" style="1073" customWidth="1"/>
    <col min="15651" max="15651" width="32" style="1073" customWidth="1"/>
    <col min="15652" max="15653" width="11.5546875" style="1073" customWidth="1"/>
    <col min="15654" max="15654" width="10.88671875" style="1073" customWidth="1"/>
    <col min="15655" max="15694" width="8.88671875" style="1073" customWidth="1"/>
    <col min="15695" max="15872" width="8.88671875" style="1073"/>
    <col min="15873" max="15873" width="8.88671875" style="1073" customWidth="1"/>
    <col min="15874" max="15874" width="2.88671875" style="1073" customWidth="1"/>
    <col min="15875" max="15875" width="5.21875" style="1073" customWidth="1"/>
    <col min="15876" max="15876" width="20.109375" style="1073" customWidth="1"/>
    <col min="15877" max="15877" width="10.6640625" style="1073" customWidth="1"/>
    <col min="15878" max="15878" width="11.5546875" style="1073" customWidth="1"/>
    <col min="15879" max="15879" width="4.33203125" style="1073" customWidth="1"/>
    <col min="15880" max="15880" width="14.88671875" style="1073" customWidth="1"/>
    <col min="15881" max="15881" width="9" style="1073" customWidth="1"/>
    <col min="15882" max="15882" width="4.77734375" style="1073" customWidth="1"/>
    <col min="15883" max="15883" width="6.21875" style="1073" customWidth="1"/>
    <col min="15884" max="15884" width="7.109375" style="1073" customWidth="1"/>
    <col min="15885" max="15885" width="4.77734375" style="1073" customWidth="1"/>
    <col min="15886" max="15886" width="30.44140625" style="1073" customWidth="1"/>
    <col min="15887" max="15887" width="12.21875" style="1073" customWidth="1"/>
    <col min="15888" max="15888" width="12" style="1073" customWidth="1"/>
    <col min="15889" max="15889" width="4.44140625" style="1073" customWidth="1"/>
    <col min="15890" max="15890" width="10.109375" style="1073" customWidth="1"/>
    <col min="15891" max="15891" width="7.21875" style="1073" customWidth="1"/>
    <col min="15892" max="15892" width="13" style="1073" customWidth="1"/>
    <col min="15893" max="15893" width="4" style="1073" customWidth="1"/>
    <col min="15894" max="15894" width="27.5546875" style="1073" bestFit="1" customWidth="1"/>
    <col min="15895" max="15895" width="10.33203125" style="1073" customWidth="1"/>
    <col min="15896" max="15896" width="4.33203125" style="1073" customWidth="1"/>
    <col min="15897" max="15897" width="20.6640625" style="1073" customWidth="1"/>
    <col min="15898" max="15899" width="12.33203125" style="1073" customWidth="1"/>
    <col min="15900" max="15900" width="17.6640625" style="1073" customWidth="1"/>
    <col min="15901" max="15901" width="12.21875" style="1073" customWidth="1"/>
    <col min="15902" max="15903" width="15.109375" style="1073" customWidth="1"/>
    <col min="15904" max="15906" width="8.88671875" style="1073" customWidth="1"/>
    <col min="15907" max="15907" width="32" style="1073" customWidth="1"/>
    <col min="15908" max="15909" width="11.5546875" style="1073" customWidth="1"/>
    <col min="15910" max="15910" width="10.88671875" style="1073" customWidth="1"/>
    <col min="15911" max="15950" width="8.88671875" style="1073" customWidth="1"/>
    <col min="15951" max="16128" width="8.88671875" style="1073"/>
    <col min="16129" max="16129" width="8.88671875" style="1073" customWidth="1"/>
    <col min="16130" max="16130" width="2.88671875" style="1073" customWidth="1"/>
    <col min="16131" max="16131" width="5.21875" style="1073" customWidth="1"/>
    <col min="16132" max="16132" width="20.109375" style="1073" customWidth="1"/>
    <col min="16133" max="16133" width="10.6640625" style="1073" customWidth="1"/>
    <col min="16134" max="16134" width="11.5546875" style="1073" customWidth="1"/>
    <col min="16135" max="16135" width="4.33203125" style="1073" customWidth="1"/>
    <col min="16136" max="16136" width="14.88671875" style="1073" customWidth="1"/>
    <col min="16137" max="16137" width="9" style="1073" customWidth="1"/>
    <col min="16138" max="16138" width="4.77734375" style="1073" customWidth="1"/>
    <col min="16139" max="16139" width="6.21875" style="1073" customWidth="1"/>
    <col min="16140" max="16140" width="7.109375" style="1073" customWidth="1"/>
    <col min="16141" max="16141" width="4.77734375" style="1073" customWidth="1"/>
    <col min="16142" max="16142" width="30.44140625" style="1073" customWidth="1"/>
    <col min="16143" max="16143" width="12.21875" style="1073" customWidth="1"/>
    <col min="16144" max="16144" width="12" style="1073" customWidth="1"/>
    <col min="16145" max="16145" width="4.44140625" style="1073" customWidth="1"/>
    <col min="16146" max="16146" width="10.109375" style="1073" customWidth="1"/>
    <col min="16147" max="16147" width="7.21875" style="1073" customWidth="1"/>
    <col min="16148" max="16148" width="13" style="1073" customWidth="1"/>
    <col min="16149" max="16149" width="4" style="1073" customWidth="1"/>
    <col min="16150" max="16150" width="27.5546875" style="1073" bestFit="1" customWidth="1"/>
    <col min="16151" max="16151" width="10.33203125" style="1073" customWidth="1"/>
    <col min="16152" max="16152" width="4.33203125" style="1073" customWidth="1"/>
    <col min="16153" max="16153" width="20.6640625" style="1073" customWidth="1"/>
    <col min="16154" max="16155" width="12.33203125" style="1073" customWidth="1"/>
    <col min="16156" max="16156" width="17.6640625" style="1073" customWidth="1"/>
    <col min="16157" max="16157" width="12.21875" style="1073" customWidth="1"/>
    <col min="16158" max="16159" width="15.109375" style="1073" customWidth="1"/>
    <col min="16160" max="16162" width="8.88671875" style="1073" customWidth="1"/>
    <col min="16163" max="16163" width="32" style="1073" customWidth="1"/>
    <col min="16164" max="16165" width="11.5546875" style="1073" customWidth="1"/>
    <col min="16166" max="16166" width="10.88671875" style="1073" customWidth="1"/>
    <col min="16167" max="16206" width="8.88671875" style="1073" customWidth="1"/>
    <col min="16207" max="16384" width="8.88671875" style="1073"/>
  </cols>
  <sheetData>
    <row r="1" spans="2:42" ht="12.75" thickBot="1" x14ac:dyDescent="0.25">
      <c r="B1" s="1100" t="s">
        <v>69</v>
      </c>
      <c r="D1" s="1543" t="s">
        <v>72</v>
      </c>
      <c r="E1" s="1543"/>
      <c r="F1" s="1102"/>
      <c r="K1" s="1543" t="s">
        <v>70</v>
      </c>
      <c r="L1" s="1543"/>
      <c r="N1" s="1543" t="s">
        <v>71</v>
      </c>
      <c r="O1" s="1543"/>
      <c r="Y1" s="1103" t="s">
        <v>76</v>
      </c>
      <c r="Z1" s="1103"/>
      <c r="AA1" s="1103"/>
      <c r="AB1" s="1103"/>
      <c r="AC1" s="1103" t="s">
        <v>77</v>
      </c>
      <c r="AD1" s="1103"/>
    </row>
    <row r="2" spans="2:42" ht="36" x14ac:dyDescent="0.2">
      <c r="C2" s="1104"/>
      <c r="D2" s="1044" t="s">
        <v>1</v>
      </c>
      <c r="E2" s="1044" t="s">
        <v>67</v>
      </c>
      <c r="F2" s="1043" t="s">
        <v>168</v>
      </c>
      <c r="G2" s="1104"/>
      <c r="H2" s="1044" t="s">
        <v>2</v>
      </c>
      <c r="I2" s="1044" t="s">
        <v>73</v>
      </c>
      <c r="J2" s="1104"/>
      <c r="K2" s="1044" t="s">
        <v>40</v>
      </c>
      <c r="L2" s="1044" t="s">
        <v>66</v>
      </c>
      <c r="M2" s="1104"/>
      <c r="N2" s="1044" t="s">
        <v>3</v>
      </c>
      <c r="O2" s="1044" t="s">
        <v>173</v>
      </c>
      <c r="P2" s="1044" t="s">
        <v>55</v>
      </c>
      <c r="Q2" s="1104"/>
      <c r="R2" s="1044" t="s">
        <v>14</v>
      </c>
      <c r="S2" s="1044" t="s">
        <v>25</v>
      </c>
      <c r="T2" s="1044" t="s">
        <v>15</v>
      </c>
      <c r="U2" s="1104"/>
      <c r="V2" s="1105" t="s">
        <v>16</v>
      </c>
      <c r="W2" s="1044" t="s">
        <v>68</v>
      </c>
      <c r="X2" s="1104"/>
      <c r="Y2" s="1044" t="s">
        <v>26</v>
      </c>
      <c r="Z2" s="1044" t="s">
        <v>271</v>
      </c>
      <c r="AA2" s="1044" t="s">
        <v>292</v>
      </c>
      <c r="AB2" s="1043"/>
      <c r="AC2" s="1044" t="s">
        <v>39</v>
      </c>
      <c r="AD2" s="1044" t="s">
        <v>272</v>
      </c>
      <c r="AE2" s="1106" t="s">
        <v>83</v>
      </c>
      <c r="AF2" s="1107" t="s">
        <v>73</v>
      </c>
      <c r="AG2" s="1048" t="s">
        <v>237</v>
      </c>
      <c r="AH2" s="1048" t="s">
        <v>242</v>
      </c>
      <c r="AI2" s="1048" t="s">
        <v>817</v>
      </c>
      <c r="AJ2" s="1048" t="s">
        <v>745</v>
      </c>
      <c r="AK2" s="1048" t="s">
        <v>818</v>
      </c>
      <c r="AL2" s="1048" t="s">
        <v>747</v>
      </c>
      <c r="AM2" s="1048" t="s">
        <v>749</v>
      </c>
      <c r="AN2" s="1048" t="s">
        <v>750</v>
      </c>
      <c r="AO2" s="1048" t="s">
        <v>751</v>
      </c>
      <c r="AP2" s="1048" t="s">
        <v>753</v>
      </c>
    </row>
    <row r="3" spans="2:42" x14ac:dyDescent="0.2">
      <c r="C3" s="1104"/>
      <c r="D3" s="1043"/>
      <c r="E3" s="1043"/>
      <c r="F3" s="1043"/>
      <c r="G3" s="1104"/>
      <c r="H3" s="1108" t="s">
        <v>74</v>
      </c>
      <c r="I3" s="1109" t="s">
        <v>115</v>
      </c>
      <c r="J3" s="1104"/>
      <c r="K3" s="1043"/>
      <c r="L3" s="1043"/>
      <c r="M3" s="1104"/>
      <c r="N3" s="1043"/>
      <c r="O3" s="1043"/>
      <c r="P3" s="1043"/>
      <c r="Q3" s="1104"/>
      <c r="R3" s="1043"/>
      <c r="S3" s="1043"/>
      <c r="T3" s="1043"/>
      <c r="U3" s="1104"/>
      <c r="V3" s="1110"/>
      <c r="W3" s="1043"/>
      <c r="X3" s="1104"/>
      <c r="Y3" s="1043"/>
      <c r="Z3" s="1043"/>
      <c r="AA3" s="1043"/>
      <c r="AB3" s="1111"/>
      <c r="AC3" s="1043"/>
      <c r="AD3" s="1112"/>
      <c r="AE3" s="1113"/>
      <c r="AF3" s="1114"/>
      <c r="AG3" s="1048"/>
      <c r="AH3" s="1048"/>
      <c r="AI3" s="1048"/>
      <c r="AJ3" s="1048"/>
      <c r="AK3" s="1048"/>
      <c r="AL3" s="1048" t="s">
        <v>755</v>
      </c>
      <c r="AM3" s="1048"/>
      <c r="AN3" s="1048"/>
      <c r="AO3" s="1048"/>
      <c r="AP3" s="1048"/>
    </row>
    <row r="4" spans="2:42" s="1072" customFormat="1" ht="15" customHeight="1" x14ac:dyDescent="0.2">
      <c r="B4" s="1115">
        <v>1</v>
      </c>
      <c r="C4" s="1116"/>
      <c r="D4" s="1057" t="s">
        <v>49</v>
      </c>
      <c r="E4" s="1009">
        <v>0</v>
      </c>
      <c r="F4" s="1009" t="s">
        <v>170</v>
      </c>
      <c r="G4" s="1117"/>
      <c r="H4" s="1099" t="s">
        <v>84</v>
      </c>
      <c r="I4" s="1118" t="s">
        <v>115</v>
      </c>
      <c r="J4" s="1119"/>
      <c r="K4" s="1099" t="s">
        <v>64</v>
      </c>
      <c r="L4" s="1120"/>
      <c r="M4" s="1119"/>
      <c r="N4" s="1057" t="s">
        <v>5</v>
      </c>
      <c r="O4" s="1010">
        <v>0</v>
      </c>
      <c r="P4" s="1009">
        <v>2</v>
      </c>
      <c r="Q4" s="1117"/>
      <c r="R4" s="1009" t="s">
        <v>377</v>
      </c>
      <c r="S4" s="1009" t="s">
        <v>378</v>
      </c>
      <c r="T4" s="1057" t="s">
        <v>195</v>
      </c>
      <c r="U4" s="1117"/>
      <c r="V4" s="1009" t="s">
        <v>38</v>
      </c>
      <c r="W4" s="1118">
        <v>0</v>
      </c>
      <c r="X4" s="1117"/>
      <c r="Y4" s="1009" t="s">
        <v>828</v>
      </c>
      <c r="AA4" s="1010">
        <v>16</v>
      </c>
      <c r="AB4" s="1121"/>
      <c r="AC4" s="280" t="s">
        <v>207</v>
      </c>
      <c r="AD4" s="1002">
        <v>0</v>
      </c>
      <c r="AE4" s="1066" t="s">
        <v>131</v>
      </c>
      <c r="AF4" s="1122">
        <v>0</v>
      </c>
      <c r="AG4" s="1072" t="s">
        <v>457</v>
      </c>
      <c r="AH4" s="212">
        <v>3.75</v>
      </c>
      <c r="AI4" s="1069" t="s">
        <v>758</v>
      </c>
      <c r="AJ4" s="1070" t="s">
        <v>758</v>
      </c>
      <c r="AK4" s="1070" t="s">
        <v>380</v>
      </c>
      <c r="AL4" s="1070">
        <v>-16.599999999999994</v>
      </c>
      <c r="AM4" s="1072" t="s">
        <v>758</v>
      </c>
      <c r="AN4" s="1073" t="s">
        <v>760</v>
      </c>
      <c r="AO4" s="1073" t="s">
        <v>760</v>
      </c>
      <c r="AP4" s="1073" t="s">
        <v>169</v>
      </c>
    </row>
    <row r="5" spans="2:42" s="1072" customFormat="1" ht="15" customHeight="1" x14ac:dyDescent="0.2">
      <c r="B5" s="1115">
        <f>SUM(B4+1)</f>
        <v>2</v>
      </c>
      <c r="C5" s="1116"/>
      <c r="D5" s="1057" t="s">
        <v>832</v>
      </c>
      <c r="E5" s="1009">
        <v>0</v>
      </c>
      <c r="F5" s="141" t="s">
        <v>171</v>
      </c>
      <c r="G5" s="1117"/>
      <c r="H5" s="1099" t="s">
        <v>86</v>
      </c>
      <c r="I5" s="1118" t="s">
        <v>115</v>
      </c>
      <c r="J5" s="1119"/>
      <c r="K5" s="1099" t="s">
        <v>65</v>
      </c>
      <c r="L5" s="1118" t="s">
        <v>115</v>
      </c>
      <c r="M5" s="1119"/>
      <c r="N5" s="1057" t="s">
        <v>6</v>
      </c>
      <c r="O5" s="1010">
        <v>0</v>
      </c>
      <c r="P5" s="1009">
        <v>1</v>
      </c>
      <c r="Q5" s="1117"/>
      <c r="R5" s="1009" t="s">
        <v>17</v>
      </c>
      <c r="S5" s="1009">
        <v>1</v>
      </c>
      <c r="T5" s="1057" t="s">
        <v>196</v>
      </c>
      <c r="U5" s="1117"/>
      <c r="V5" s="1009" t="s">
        <v>28</v>
      </c>
      <c r="W5" s="1118">
        <v>0</v>
      </c>
      <c r="X5" s="1117"/>
      <c r="Y5" s="1009" t="s">
        <v>273</v>
      </c>
      <c r="AA5" s="1010">
        <v>16</v>
      </c>
      <c r="AB5" s="1121"/>
      <c r="AC5" s="280" t="s">
        <v>850</v>
      </c>
      <c r="AD5" s="1002">
        <v>8</v>
      </c>
      <c r="AE5" s="1066" t="s">
        <v>85</v>
      </c>
      <c r="AF5" s="1123">
        <v>0</v>
      </c>
      <c r="AG5" s="1072" t="s">
        <v>458</v>
      </c>
      <c r="AH5" s="212">
        <v>3.75</v>
      </c>
      <c r="AI5" s="1069" t="s">
        <v>819</v>
      </c>
      <c r="AJ5" s="1070" t="s">
        <v>768</v>
      </c>
      <c r="AK5" s="1070" t="s">
        <v>380</v>
      </c>
      <c r="AL5" s="1070">
        <v>0</v>
      </c>
      <c r="AM5" s="1072" t="s">
        <v>763</v>
      </c>
      <c r="AN5" s="1072" t="s">
        <v>764</v>
      </c>
      <c r="AO5" s="1072" t="s">
        <v>764</v>
      </c>
      <c r="AP5" s="1073" t="s">
        <v>766</v>
      </c>
    </row>
    <row r="6" spans="2:42" s="1072" customFormat="1" ht="15" customHeight="1" x14ac:dyDescent="0.2">
      <c r="B6" s="1115">
        <f t="shared" ref="B6:B15" si="0">SUM(B5+1)</f>
        <v>3</v>
      </c>
      <c r="C6" s="1116"/>
      <c r="D6" s="1057" t="s">
        <v>50</v>
      </c>
      <c r="E6" s="1009">
        <v>0</v>
      </c>
      <c r="F6" s="141" t="s">
        <v>171</v>
      </c>
      <c r="G6" s="1117"/>
      <c r="H6" s="1099" t="s">
        <v>87</v>
      </c>
      <c r="I6" s="1118" t="s">
        <v>115</v>
      </c>
      <c r="J6" s="1119"/>
      <c r="K6" s="1099"/>
      <c r="L6" s="1120"/>
      <c r="M6" s="1119"/>
      <c r="N6" s="1057" t="s">
        <v>4</v>
      </c>
      <c r="O6" s="1010">
        <v>0</v>
      </c>
      <c r="P6" s="1009">
        <v>1</v>
      </c>
      <c r="Q6" s="1117"/>
      <c r="R6" s="1009" t="s">
        <v>18</v>
      </c>
      <c r="S6" s="1009">
        <v>1</v>
      </c>
      <c r="T6" s="1057" t="s">
        <v>199</v>
      </c>
      <c r="U6" s="1117"/>
      <c r="V6" s="1011" t="s">
        <v>88</v>
      </c>
      <c r="W6" s="1118">
        <v>0</v>
      </c>
      <c r="X6" s="1117"/>
      <c r="Y6" s="1009" t="s">
        <v>212</v>
      </c>
      <c r="AA6" s="1010">
        <v>15</v>
      </c>
      <c r="AB6" s="1121"/>
      <c r="AC6" s="280" t="s">
        <v>373</v>
      </c>
      <c r="AD6" s="1002">
        <v>12.5</v>
      </c>
      <c r="AG6" s="1072" t="s">
        <v>459</v>
      </c>
      <c r="AH6" s="212">
        <v>3.75</v>
      </c>
      <c r="AI6" s="1069" t="s">
        <v>788</v>
      </c>
      <c r="AJ6" s="1070" t="s">
        <v>768</v>
      </c>
      <c r="AK6" s="1070" t="s">
        <v>380</v>
      </c>
      <c r="AL6" s="1070">
        <v>0</v>
      </c>
      <c r="AM6" s="1072" t="s">
        <v>769</v>
      </c>
      <c r="AN6" s="1072" t="s">
        <v>770</v>
      </c>
      <c r="AO6" s="1072" t="s">
        <v>770</v>
      </c>
      <c r="AP6" s="1072" t="s">
        <v>772</v>
      </c>
    </row>
    <row r="7" spans="2:42" s="1072" customFormat="1" ht="15" customHeight="1" x14ac:dyDescent="0.2">
      <c r="B7" s="1115">
        <f t="shared" si="0"/>
        <v>4</v>
      </c>
      <c r="C7" s="1116"/>
      <c r="D7" s="1057" t="s">
        <v>312</v>
      </c>
      <c r="E7" s="1009">
        <v>19</v>
      </c>
      <c r="F7" s="1009" t="s">
        <v>735</v>
      </c>
      <c r="G7" s="1117"/>
      <c r="H7" s="1099" t="s">
        <v>89</v>
      </c>
      <c r="I7" s="1118" t="s">
        <v>115</v>
      </c>
      <c r="J7" s="1119"/>
      <c r="K7" s="1099"/>
      <c r="L7" s="1099"/>
      <c r="M7" s="1119"/>
      <c r="N7" s="1057" t="s">
        <v>175</v>
      </c>
      <c r="O7" s="1010">
        <v>54</v>
      </c>
      <c r="P7" s="1009">
        <v>1</v>
      </c>
      <c r="Q7" s="1117"/>
      <c r="R7" s="1009" t="s">
        <v>19</v>
      </c>
      <c r="S7" s="1009">
        <v>2</v>
      </c>
      <c r="T7" s="1057" t="s">
        <v>197</v>
      </c>
      <c r="U7" s="1117"/>
      <c r="V7" s="1009" t="s">
        <v>37</v>
      </c>
      <c r="W7" s="1118">
        <v>0</v>
      </c>
      <c r="X7" s="1117"/>
      <c r="Y7" s="1009" t="s">
        <v>230</v>
      </c>
      <c r="AA7" s="1010">
        <v>6</v>
      </c>
      <c r="AB7" s="1121"/>
      <c r="AC7" s="280" t="s">
        <v>372</v>
      </c>
      <c r="AD7" s="1002">
        <v>18.5</v>
      </c>
      <c r="AG7" s="1072" t="s">
        <v>460</v>
      </c>
      <c r="AH7" s="212">
        <v>3.75</v>
      </c>
      <c r="AI7" s="1069" t="s">
        <v>820</v>
      </c>
      <c r="AJ7" s="1071" t="s">
        <v>768</v>
      </c>
      <c r="AK7" s="1070" t="s">
        <v>380</v>
      </c>
      <c r="AL7" s="1070">
        <v>16.600000000000023</v>
      </c>
      <c r="AN7" s="1072" t="s">
        <v>776</v>
      </c>
      <c r="AO7" s="1072" t="s">
        <v>776</v>
      </c>
    </row>
    <row r="8" spans="2:42" s="1072" customFormat="1" ht="15" customHeight="1" x14ac:dyDescent="0.2">
      <c r="B8" s="1115">
        <f t="shared" si="0"/>
        <v>5</v>
      </c>
      <c r="C8" s="1116"/>
      <c r="D8" s="1057" t="s">
        <v>313</v>
      </c>
      <c r="E8" s="1009">
        <v>19</v>
      </c>
      <c r="F8" s="1009" t="s">
        <v>735</v>
      </c>
      <c r="G8" s="1117"/>
      <c r="H8" s="1099" t="s">
        <v>90</v>
      </c>
      <c r="I8" s="1118" t="s">
        <v>115</v>
      </c>
      <c r="J8" s="1119"/>
      <c r="K8" s="1099"/>
      <c r="L8" s="1099"/>
      <c r="M8" s="1119"/>
      <c r="N8" s="1057" t="s">
        <v>176</v>
      </c>
      <c r="O8" s="1010">
        <v>54</v>
      </c>
      <c r="P8" s="1009">
        <v>1</v>
      </c>
      <c r="Q8" s="1117"/>
      <c r="R8" s="1009" t="s">
        <v>20</v>
      </c>
      <c r="S8" s="1009">
        <v>2</v>
      </c>
      <c r="T8" s="1057" t="s">
        <v>198</v>
      </c>
      <c r="U8" s="1117"/>
      <c r="V8" s="1009" t="s">
        <v>57</v>
      </c>
      <c r="W8" s="1118">
        <v>0</v>
      </c>
      <c r="X8" s="1117"/>
      <c r="Y8" s="1009" t="s">
        <v>370</v>
      </c>
      <c r="AA8" s="1010">
        <v>10</v>
      </c>
      <c r="AB8" s="1121"/>
      <c r="AC8" s="280" t="s">
        <v>201</v>
      </c>
      <c r="AD8" s="1002">
        <v>22</v>
      </c>
      <c r="AG8" s="1072" t="s">
        <v>461</v>
      </c>
      <c r="AH8" s="212">
        <v>3.75</v>
      </c>
      <c r="AI8" s="1069" t="s">
        <v>821</v>
      </c>
      <c r="AJ8" s="1071" t="s">
        <v>822</v>
      </c>
      <c r="AK8" s="1070" t="s">
        <v>169</v>
      </c>
      <c r="AL8" s="1070">
        <v>0</v>
      </c>
      <c r="AN8" s="1072" t="s">
        <v>779</v>
      </c>
      <c r="AO8" s="1072" t="s">
        <v>779</v>
      </c>
    </row>
    <row r="9" spans="2:42" s="1072" customFormat="1" ht="15" customHeight="1" x14ac:dyDescent="0.2">
      <c r="B9" s="1115">
        <f t="shared" si="0"/>
        <v>6</v>
      </c>
      <c r="C9" s="1116"/>
      <c r="D9" s="1057" t="s">
        <v>833</v>
      </c>
      <c r="E9" s="1009">
        <v>19</v>
      </c>
      <c r="F9" s="1009" t="s">
        <v>735</v>
      </c>
      <c r="G9" s="1117"/>
      <c r="H9" s="1099" t="s">
        <v>91</v>
      </c>
      <c r="I9" s="1118" t="s">
        <v>115</v>
      </c>
      <c r="J9" s="1119"/>
      <c r="K9" s="1099"/>
      <c r="L9" s="1099"/>
      <c r="M9" s="1119"/>
      <c r="N9" s="1057" t="s">
        <v>177</v>
      </c>
      <c r="O9" s="1010">
        <v>54</v>
      </c>
      <c r="P9" s="1009">
        <v>1</v>
      </c>
      <c r="Q9" s="1117"/>
      <c r="R9" s="1009" t="s">
        <v>21</v>
      </c>
      <c r="S9" s="1009">
        <v>2</v>
      </c>
      <c r="T9" s="1057" t="s">
        <v>200</v>
      </c>
      <c r="U9" s="1117"/>
      <c r="V9" s="1009" t="s">
        <v>47</v>
      </c>
      <c r="W9" s="1118">
        <v>0</v>
      </c>
      <c r="X9" s="1117"/>
      <c r="Y9" s="1009" t="s">
        <v>371</v>
      </c>
      <c r="AA9" s="1010">
        <v>12.5</v>
      </c>
      <c r="AB9" s="1121"/>
      <c r="AC9" s="280" t="s">
        <v>231</v>
      </c>
      <c r="AD9" s="1002">
        <v>30</v>
      </c>
      <c r="AG9" s="1072" t="s">
        <v>469</v>
      </c>
      <c r="AH9" s="212">
        <v>3.75</v>
      </c>
      <c r="AI9" s="1075" t="s">
        <v>823</v>
      </c>
      <c r="AJ9" s="1071" t="s">
        <v>822</v>
      </c>
      <c r="AK9" s="1071" t="s">
        <v>169</v>
      </c>
      <c r="AL9" s="1071">
        <v>0</v>
      </c>
      <c r="AN9" s="1072" t="s">
        <v>783</v>
      </c>
      <c r="AO9" s="1072" t="s">
        <v>783</v>
      </c>
    </row>
    <row r="10" spans="2:42" s="1072" customFormat="1" ht="15" customHeight="1" x14ac:dyDescent="0.2">
      <c r="B10" s="1115">
        <f t="shared" si="0"/>
        <v>7</v>
      </c>
      <c r="C10" s="1116"/>
      <c r="D10" s="1057" t="s">
        <v>834</v>
      </c>
      <c r="E10" s="1009">
        <v>19</v>
      </c>
      <c r="F10" s="1009" t="s">
        <v>735</v>
      </c>
      <c r="G10" s="1117"/>
      <c r="H10" s="1099" t="s">
        <v>92</v>
      </c>
      <c r="I10" s="1118" t="s">
        <v>115</v>
      </c>
      <c r="J10" s="1119"/>
      <c r="K10" s="1099"/>
      <c r="L10" s="1099"/>
      <c r="M10" s="1119"/>
      <c r="N10" s="1057" t="s">
        <v>183</v>
      </c>
      <c r="O10" s="1010">
        <v>68</v>
      </c>
      <c r="P10" s="1009">
        <v>1</v>
      </c>
      <c r="Q10" s="1117"/>
      <c r="R10" s="1009" t="s">
        <v>22</v>
      </c>
      <c r="S10" s="1009">
        <v>3</v>
      </c>
      <c r="T10" s="1009"/>
      <c r="U10" s="1117"/>
      <c r="V10" s="1009" t="s">
        <v>334</v>
      </c>
      <c r="W10" s="1010">
        <v>0</v>
      </c>
      <c r="X10" s="1117"/>
      <c r="Y10" s="1009" t="s">
        <v>216</v>
      </c>
      <c r="AA10" s="1010">
        <v>15</v>
      </c>
      <c r="AB10" s="1121"/>
      <c r="AC10" s="280" t="s">
        <v>232</v>
      </c>
      <c r="AD10" s="1002">
        <v>18.5</v>
      </c>
      <c r="AG10" s="1072" t="s">
        <v>470</v>
      </c>
      <c r="AH10" s="212">
        <v>3.75</v>
      </c>
    </row>
    <row r="11" spans="2:42" s="1072" customFormat="1" ht="15" customHeight="1" thickBot="1" x14ac:dyDescent="0.25">
      <c r="B11" s="1115">
        <f t="shared" si="0"/>
        <v>8</v>
      </c>
      <c r="C11" s="1116"/>
      <c r="D11" s="1057" t="s">
        <v>322</v>
      </c>
      <c r="E11" s="1009">
        <v>19</v>
      </c>
      <c r="F11" s="1009" t="s">
        <v>735</v>
      </c>
      <c r="G11" s="1117"/>
      <c r="H11" s="1099" t="s">
        <v>93</v>
      </c>
      <c r="I11" s="1118" t="s">
        <v>115</v>
      </c>
      <c r="J11" s="1119"/>
      <c r="K11" s="1099"/>
      <c r="L11" s="1099"/>
      <c r="M11" s="1119"/>
      <c r="N11" s="1057" t="s">
        <v>182</v>
      </c>
      <c r="O11" s="1010">
        <v>68</v>
      </c>
      <c r="P11" s="1009">
        <v>1</v>
      </c>
      <c r="Q11" s="1117"/>
      <c r="R11" s="1009" t="s">
        <v>23</v>
      </c>
      <c r="S11" s="1009">
        <v>3</v>
      </c>
      <c r="T11" s="1009"/>
      <c r="U11" s="1117"/>
      <c r="V11" s="1009" t="s">
        <v>333</v>
      </c>
      <c r="W11" s="1010">
        <v>5.5</v>
      </c>
      <c r="X11" s="1117"/>
      <c r="Y11" s="1009" t="s">
        <v>221</v>
      </c>
      <c r="AA11" s="1010">
        <v>11.5</v>
      </c>
      <c r="AB11" s="1121"/>
      <c r="AC11" s="280" t="s">
        <v>233</v>
      </c>
      <c r="AD11" s="1002">
        <v>24</v>
      </c>
      <c r="AG11" s="1072" t="s">
        <v>462</v>
      </c>
      <c r="AH11" s="212">
        <v>3.75</v>
      </c>
    </row>
    <row r="12" spans="2:42" s="1072" customFormat="1" ht="15" customHeight="1" x14ac:dyDescent="0.2">
      <c r="B12" s="1115">
        <f t="shared" si="0"/>
        <v>9</v>
      </c>
      <c r="C12" s="1116"/>
      <c r="D12" s="1057" t="s">
        <v>323</v>
      </c>
      <c r="E12" s="1009">
        <v>19</v>
      </c>
      <c r="F12" s="1009" t="s">
        <v>735</v>
      </c>
      <c r="G12" s="1117"/>
      <c r="H12" s="1099" t="s">
        <v>94</v>
      </c>
      <c r="I12" s="1118" t="s">
        <v>115</v>
      </c>
      <c r="J12" s="1119"/>
      <c r="K12" s="1099"/>
      <c r="L12" s="1099"/>
      <c r="M12" s="1119"/>
      <c r="N12" s="1057" t="s">
        <v>184</v>
      </c>
      <c r="O12" s="1010">
        <v>68</v>
      </c>
      <c r="P12" s="1009">
        <v>1</v>
      </c>
      <c r="Q12" s="1117"/>
      <c r="R12" s="1009" t="s">
        <v>24</v>
      </c>
      <c r="S12" s="1009">
        <v>4</v>
      </c>
      <c r="T12" s="1044" t="s">
        <v>307</v>
      </c>
      <c r="U12" s="1117"/>
      <c r="V12" s="1009" t="s">
        <v>58</v>
      </c>
      <c r="W12" s="1010">
        <v>11</v>
      </c>
      <c r="X12" s="1117"/>
      <c r="Y12" s="284" t="s">
        <v>228</v>
      </c>
      <c r="AA12" s="1010">
        <v>11.5</v>
      </c>
      <c r="AB12" s="1121"/>
      <c r="AC12" s="280" t="s">
        <v>330</v>
      </c>
      <c r="AD12" s="1002">
        <v>24</v>
      </c>
      <c r="AG12" s="1073" t="s">
        <v>463</v>
      </c>
      <c r="AH12" s="212">
        <v>3.75</v>
      </c>
    </row>
    <row r="13" spans="2:42" s="1072" customFormat="1" ht="15" customHeight="1" x14ac:dyDescent="0.2">
      <c r="B13" s="1115">
        <f t="shared" si="0"/>
        <v>10</v>
      </c>
      <c r="C13" s="1116"/>
      <c r="D13" s="1057" t="s">
        <v>316</v>
      </c>
      <c r="E13" s="1057">
        <v>19</v>
      </c>
      <c r="F13" s="1057" t="s">
        <v>735</v>
      </c>
      <c r="G13" s="1117"/>
      <c r="H13" s="1099" t="s">
        <v>95</v>
      </c>
      <c r="I13" s="1118" t="s">
        <v>115</v>
      </c>
      <c r="J13" s="1119"/>
      <c r="K13" s="1099"/>
      <c r="L13" s="1099"/>
      <c r="M13" s="1119"/>
      <c r="N13" s="1057" t="s">
        <v>185</v>
      </c>
      <c r="O13" s="1010">
        <v>87</v>
      </c>
      <c r="P13" s="1009">
        <v>1</v>
      </c>
      <c r="Q13" s="1117"/>
      <c r="R13" s="1057" t="s">
        <v>288</v>
      </c>
      <c r="S13" s="1057">
        <v>3</v>
      </c>
      <c r="T13" s="1057" t="s">
        <v>195</v>
      </c>
      <c r="U13" s="1117"/>
      <c r="V13" s="1009" t="s">
        <v>730</v>
      </c>
      <c r="W13" s="1010">
        <v>9</v>
      </c>
      <c r="X13" s="1117"/>
      <c r="Y13" s="1009" t="s">
        <v>229</v>
      </c>
      <c r="AA13" s="1010">
        <v>15</v>
      </c>
      <c r="AB13" s="1121"/>
      <c r="AC13" s="280" t="s">
        <v>234</v>
      </c>
      <c r="AD13" s="1002">
        <v>15</v>
      </c>
      <c r="AG13" s="1073" t="s">
        <v>241</v>
      </c>
      <c r="AH13" s="212">
        <v>3.75</v>
      </c>
    </row>
    <row r="14" spans="2:42" s="1072" customFormat="1" ht="15" customHeight="1" x14ac:dyDescent="0.2">
      <c r="B14" s="1115">
        <f t="shared" si="0"/>
        <v>11</v>
      </c>
      <c r="C14" s="1116"/>
      <c r="D14" s="1057" t="s">
        <v>317</v>
      </c>
      <c r="E14" s="1057">
        <v>19</v>
      </c>
      <c r="F14" s="1057" t="s">
        <v>735</v>
      </c>
      <c r="G14" s="1117"/>
      <c r="H14" s="1099" t="s">
        <v>96</v>
      </c>
      <c r="I14" s="1118" t="s">
        <v>115</v>
      </c>
      <c r="J14" s="1119"/>
      <c r="K14" s="1099"/>
      <c r="L14" s="1099"/>
      <c r="M14" s="1119"/>
      <c r="N14" s="1057" t="s">
        <v>186</v>
      </c>
      <c r="O14" s="1010">
        <v>87</v>
      </c>
      <c r="P14" s="1009">
        <v>1</v>
      </c>
      <c r="Q14" s="1117"/>
      <c r="R14" s="1057" t="s">
        <v>289</v>
      </c>
      <c r="S14" s="1057">
        <v>3</v>
      </c>
      <c r="T14" s="1057" t="s">
        <v>196</v>
      </c>
      <c r="U14" s="1117"/>
      <c r="V14" s="1009" t="s">
        <v>731</v>
      </c>
      <c r="W14" s="1010">
        <v>9</v>
      </c>
      <c r="X14" s="1117"/>
      <c r="Y14" s="1009" t="s">
        <v>211</v>
      </c>
      <c r="AA14" s="1010">
        <v>18.5</v>
      </c>
      <c r="AB14" s="1121"/>
      <c r="AC14" s="280" t="s">
        <v>436</v>
      </c>
      <c r="AD14" s="1002">
        <v>15</v>
      </c>
      <c r="AG14" s="1073" t="s">
        <v>240</v>
      </c>
      <c r="AH14" s="212">
        <v>7</v>
      </c>
    </row>
    <row r="15" spans="2:42" s="1072" customFormat="1" ht="15" customHeight="1" x14ac:dyDescent="0.2">
      <c r="B15" s="1115">
        <f t="shared" si="0"/>
        <v>12</v>
      </c>
      <c r="C15" s="1116"/>
      <c r="D15" s="1057" t="s">
        <v>835</v>
      </c>
      <c r="E15" s="1057">
        <v>19</v>
      </c>
      <c r="F15" s="1057" t="s">
        <v>735</v>
      </c>
      <c r="G15" s="1117"/>
      <c r="H15" s="1099" t="s">
        <v>97</v>
      </c>
      <c r="I15" s="1118" t="s">
        <v>115</v>
      </c>
      <c r="J15" s="1119"/>
      <c r="K15" s="1099"/>
      <c r="L15" s="1099"/>
      <c r="M15" s="1119"/>
      <c r="N15" s="1057" t="s">
        <v>187</v>
      </c>
      <c r="O15" s="1010">
        <v>87</v>
      </c>
      <c r="P15" s="1009">
        <v>1</v>
      </c>
      <c r="Q15" s="1117"/>
      <c r="R15" s="1009" t="s">
        <v>32</v>
      </c>
      <c r="S15" s="1009">
        <v>4</v>
      </c>
      <c r="T15" s="1057" t="s">
        <v>197</v>
      </c>
      <c r="U15" s="1117"/>
      <c r="V15" s="1011" t="s">
        <v>732</v>
      </c>
      <c r="W15" s="1010">
        <v>9</v>
      </c>
      <c r="X15" s="1117"/>
      <c r="Y15" s="1081" t="s">
        <v>831</v>
      </c>
      <c r="AA15" s="1124">
        <v>15</v>
      </c>
      <c r="AB15" s="1121"/>
      <c r="AC15" s="280" t="s">
        <v>296</v>
      </c>
      <c r="AD15" s="1002">
        <v>0</v>
      </c>
      <c r="AG15" s="1073" t="s">
        <v>464</v>
      </c>
      <c r="AH15" s="212">
        <v>7</v>
      </c>
    </row>
    <row r="16" spans="2:42" s="1072" customFormat="1" ht="15" customHeight="1" x14ac:dyDescent="0.2">
      <c r="B16" s="1115"/>
      <c r="C16" s="1116"/>
      <c r="D16" s="1057" t="s">
        <v>836</v>
      </c>
      <c r="E16" s="1057">
        <v>19</v>
      </c>
      <c r="F16" s="1057" t="s">
        <v>735</v>
      </c>
      <c r="G16" s="1117"/>
      <c r="H16" s="1099" t="s">
        <v>98</v>
      </c>
      <c r="I16" s="1118" t="s">
        <v>115</v>
      </c>
      <c r="J16" s="1119"/>
      <c r="K16" s="1099"/>
      <c r="L16" s="1099"/>
      <c r="M16" s="1119"/>
      <c r="N16" s="1057" t="s">
        <v>342</v>
      </c>
      <c r="O16" s="1010">
        <v>54</v>
      </c>
      <c r="P16" s="1057">
        <v>1</v>
      </c>
      <c r="Q16" s="1117"/>
      <c r="R16" s="1009" t="s">
        <v>33</v>
      </c>
      <c r="S16" s="1009">
        <v>4</v>
      </c>
      <c r="T16" s="1057" t="s">
        <v>198</v>
      </c>
      <c r="U16" s="1117"/>
      <c r="V16" s="1009" t="s">
        <v>734</v>
      </c>
      <c r="W16" s="1010">
        <v>9</v>
      </c>
      <c r="X16" s="1125"/>
      <c r="Y16" s="1085" t="s">
        <v>354</v>
      </c>
      <c r="Z16" s="1086"/>
      <c r="AA16" s="1126">
        <v>18.5</v>
      </c>
      <c r="AB16" s="1127">
        <v>70</v>
      </c>
      <c r="AC16" s="1128"/>
      <c r="AG16" s="1073" t="s">
        <v>465</v>
      </c>
      <c r="AH16" s="212">
        <v>7</v>
      </c>
    </row>
    <row r="17" spans="3:38" s="1072" customFormat="1" ht="15" customHeight="1" x14ac:dyDescent="0.2">
      <c r="C17" s="1116"/>
      <c r="D17" s="1057" t="s">
        <v>318</v>
      </c>
      <c r="E17" s="1057">
        <v>19</v>
      </c>
      <c r="F17" s="1057" t="s">
        <v>735</v>
      </c>
      <c r="G17" s="1117"/>
      <c r="H17" s="1099" t="s">
        <v>99</v>
      </c>
      <c r="I17" s="1118" t="s">
        <v>115</v>
      </c>
      <c r="J17" s="1119"/>
      <c r="K17" s="1099"/>
      <c r="L17" s="1099"/>
      <c r="M17" s="1119"/>
      <c r="N17" s="1057" t="s">
        <v>343</v>
      </c>
      <c r="O17" s="1010">
        <v>54</v>
      </c>
      <c r="P17" s="1057">
        <v>1</v>
      </c>
      <c r="Q17" s="1117"/>
      <c r="R17" s="1009" t="s">
        <v>34</v>
      </c>
      <c r="S17" s="1009">
        <v>5</v>
      </c>
      <c r="T17" s="1009"/>
      <c r="U17" s="1117"/>
      <c r="V17" s="1009" t="s">
        <v>736</v>
      </c>
      <c r="W17" s="1010">
        <v>9</v>
      </c>
      <c r="X17" s="1125"/>
      <c r="Y17" s="1085" t="s">
        <v>355</v>
      </c>
      <c r="Z17" s="1086"/>
      <c r="AA17" s="1126">
        <v>18.5</v>
      </c>
      <c r="AB17" s="1127">
        <v>70</v>
      </c>
      <c r="AG17" s="212" t="s">
        <v>239</v>
      </c>
      <c r="AH17" s="212">
        <v>7475</v>
      </c>
    </row>
    <row r="18" spans="3:38" s="1072" customFormat="1" ht="15" customHeight="1" thickBot="1" x14ac:dyDescent="0.25">
      <c r="C18" s="1116"/>
      <c r="D18" s="1057" t="s">
        <v>319</v>
      </c>
      <c r="E18" s="1057">
        <v>19</v>
      </c>
      <c r="F18" s="1057" t="s">
        <v>735</v>
      </c>
      <c r="G18" s="1117"/>
      <c r="H18" s="1099" t="s">
        <v>385</v>
      </c>
      <c r="I18" s="1118" t="s">
        <v>115</v>
      </c>
      <c r="J18" s="1119"/>
      <c r="K18" s="1099"/>
      <c r="L18" s="1099"/>
      <c r="M18" s="1119"/>
      <c r="N18" s="1057" t="s">
        <v>344</v>
      </c>
      <c r="O18" s="1010">
        <v>54</v>
      </c>
      <c r="P18" s="1057">
        <v>1</v>
      </c>
      <c r="Q18" s="1117"/>
      <c r="R18" s="1009" t="s">
        <v>35</v>
      </c>
      <c r="S18" s="1009">
        <v>5</v>
      </c>
      <c r="T18" s="1009"/>
      <c r="U18" s="1117"/>
      <c r="V18" s="1009" t="s">
        <v>737</v>
      </c>
      <c r="W18" s="1010">
        <v>9</v>
      </c>
      <c r="X18" s="1125"/>
      <c r="Y18" s="1089" t="s">
        <v>356</v>
      </c>
      <c r="Z18" s="1090"/>
      <c r="AA18" s="1129">
        <v>18.5</v>
      </c>
      <c r="AB18" s="1130">
        <v>70</v>
      </c>
      <c r="AG18" s="212" t="s">
        <v>467</v>
      </c>
      <c r="AH18" s="212">
        <v>4</v>
      </c>
    </row>
    <row r="19" spans="3:38" s="1072" customFormat="1" ht="15" customHeight="1" x14ac:dyDescent="0.2">
      <c r="C19" s="1116"/>
      <c r="D19" s="1057" t="s">
        <v>281</v>
      </c>
      <c r="E19" s="1009">
        <v>34</v>
      </c>
      <c r="F19" s="1009" t="s">
        <v>170</v>
      </c>
      <c r="G19" s="1117"/>
      <c r="H19" s="1099" t="s">
        <v>441</v>
      </c>
      <c r="I19" s="1118" t="s">
        <v>115</v>
      </c>
      <c r="J19" s="1119"/>
      <c r="K19" s="1099"/>
      <c r="L19" s="1099"/>
      <c r="M19" s="1119"/>
      <c r="N19" s="1057" t="s">
        <v>132</v>
      </c>
      <c r="O19" s="1010" t="s">
        <v>115</v>
      </c>
      <c r="P19" s="1009">
        <v>1</v>
      </c>
      <c r="Q19" s="1117"/>
      <c r="R19" s="1009" t="s">
        <v>36</v>
      </c>
      <c r="S19" s="1009">
        <v>6</v>
      </c>
      <c r="T19" s="1044" t="s">
        <v>308</v>
      </c>
      <c r="U19" s="1117"/>
      <c r="V19" s="1009" t="s">
        <v>738</v>
      </c>
      <c r="W19" s="1010">
        <v>9</v>
      </c>
      <c r="X19" s="1125"/>
      <c r="Y19" s="1089" t="s">
        <v>357</v>
      </c>
      <c r="Z19" s="1090"/>
      <c r="AA19" s="1129">
        <v>18.5</v>
      </c>
      <c r="AB19" s="1130">
        <v>70</v>
      </c>
      <c r="AG19" s="212" t="s">
        <v>483</v>
      </c>
      <c r="AH19" s="212">
        <v>7</v>
      </c>
    </row>
    <row r="20" spans="3:38" s="1072" customFormat="1" ht="15" customHeight="1" x14ac:dyDescent="0.2">
      <c r="C20" s="1116"/>
      <c r="D20" s="1057" t="s">
        <v>837</v>
      </c>
      <c r="E20" s="1009">
        <v>34</v>
      </c>
      <c r="F20" s="141" t="s">
        <v>171</v>
      </c>
      <c r="G20" s="1125"/>
      <c r="H20" s="1099" t="s">
        <v>442</v>
      </c>
      <c r="I20" s="1118" t="s">
        <v>115</v>
      </c>
      <c r="J20" s="1119"/>
      <c r="K20" s="1099"/>
      <c r="L20" s="1099"/>
      <c r="M20" s="1119"/>
      <c r="N20" s="1009"/>
      <c r="O20" s="1057"/>
      <c r="P20" s="1009"/>
      <c r="Q20" s="1117"/>
      <c r="R20" s="1009"/>
      <c r="S20" s="1009"/>
      <c r="T20" s="1057" t="s">
        <v>197</v>
      </c>
      <c r="U20" s="1117"/>
      <c r="V20" s="1009" t="s">
        <v>739</v>
      </c>
      <c r="W20" s="1010">
        <f>9+5.5</f>
        <v>14.5</v>
      </c>
      <c r="X20" s="1125"/>
      <c r="Y20" s="1089" t="s">
        <v>358</v>
      </c>
      <c r="Z20" s="1090"/>
      <c r="AA20" s="1129">
        <v>18.5</v>
      </c>
      <c r="AB20" s="1130">
        <v>70</v>
      </c>
      <c r="AG20" s="212" t="s">
        <v>437</v>
      </c>
      <c r="AH20" s="212">
        <v>3.75</v>
      </c>
    </row>
    <row r="21" spans="3:38" s="1072" customFormat="1" ht="15" customHeight="1" x14ac:dyDescent="0.2">
      <c r="C21" s="1116"/>
      <c r="D21" s="1057" t="s">
        <v>282</v>
      </c>
      <c r="E21" s="1009">
        <v>34</v>
      </c>
      <c r="F21" s="141" t="s">
        <v>171</v>
      </c>
      <c r="G21" s="1125"/>
      <c r="H21" s="1099" t="s">
        <v>443</v>
      </c>
      <c r="I21" s="1118" t="s">
        <v>115</v>
      </c>
      <c r="J21" s="1119"/>
      <c r="K21" s="1099"/>
      <c r="L21" s="1099"/>
      <c r="M21" s="1119"/>
      <c r="N21" s="1009"/>
      <c r="O21" s="1057"/>
      <c r="P21" s="1009"/>
      <c r="Q21" s="1117"/>
      <c r="R21" s="1009"/>
      <c r="S21" s="1009"/>
      <c r="T21" s="1057" t="s">
        <v>198</v>
      </c>
      <c r="U21" s="1117"/>
      <c r="V21" s="1009" t="s">
        <v>824</v>
      </c>
      <c r="W21" s="1010">
        <f>9+11</f>
        <v>20</v>
      </c>
      <c r="X21" s="1125"/>
      <c r="Y21" s="1089" t="s">
        <v>359</v>
      </c>
      <c r="Z21" s="1090"/>
      <c r="AA21" s="1129">
        <v>18.5</v>
      </c>
      <c r="AB21" s="1130">
        <v>70</v>
      </c>
      <c r="AG21" s="212" t="s">
        <v>244</v>
      </c>
      <c r="AH21" s="1072">
        <v>7475</v>
      </c>
    </row>
    <row r="22" spans="3:38" s="1072" customFormat="1" ht="15" customHeight="1" thickBot="1" x14ac:dyDescent="0.25">
      <c r="C22" s="1116"/>
      <c r="D22" s="1057" t="s">
        <v>741</v>
      </c>
      <c r="E22" s="1009">
        <v>45</v>
      </c>
      <c r="F22" s="141" t="s">
        <v>171</v>
      </c>
      <c r="G22" s="1125"/>
      <c r="H22" s="1099" t="s">
        <v>444</v>
      </c>
      <c r="I22" s="1118" t="s">
        <v>115</v>
      </c>
      <c r="J22" s="1119"/>
      <c r="K22" s="1009"/>
      <c r="L22" s="1009"/>
      <c r="M22" s="1117"/>
      <c r="N22" s="1009"/>
      <c r="O22" s="1057"/>
      <c r="P22" s="1009"/>
      <c r="Q22" s="1117"/>
      <c r="R22" s="1009"/>
      <c r="S22" s="1009"/>
      <c r="T22" s="1009"/>
      <c r="U22" s="1117"/>
      <c r="V22" s="1009"/>
      <c r="W22" s="1009"/>
      <c r="X22" s="1125"/>
      <c r="Y22" s="1089" t="s">
        <v>360</v>
      </c>
      <c r="Z22" s="1090"/>
      <c r="AA22" s="1129">
        <v>18.5</v>
      </c>
      <c r="AB22" s="1130">
        <v>70</v>
      </c>
    </row>
    <row r="23" spans="3:38" s="1072" customFormat="1" ht="15" customHeight="1" thickBot="1" x14ac:dyDescent="0.25">
      <c r="C23" s="1116"/>
      <c r="D23" s="1057" t="s">
        <v>82</v>
      </c>
      <c r="E23" s="1009">
        <v>11</v>
      </c>
      <c r="F23" s="1009" t="s">
        <v>169</v>
      </c>
      <c r="G23" s="1125"/>
      <c r="H23" s="1099" t="s">
        <v>445</v>
      </c>
      <c r="I23" s="1118" t="s">
        <v>115</v>
      </c>
      <c r="J23" s="1119"/>
      <c r="K23" s="1009"/>
      <c r="L23" s="1009"/>
      <c r="M23" s="1117"/>
      <c r="N23" s="1009"/>
      <c r="O23" s="1057"/>
      <c r="P23" s="1009"/>
      <c r="Q23" s="1117"/>
      <c r="R23" s="1044" t="s">
        <v>345</v>
      </c>
      <c r="S23" s="1044"/>
      <c r="T23" s="1009"/>
      <c r="U23" s="1117"/>
      <c r="V23" s="1009"/>
      <c r="W23" s="1009"/>
      <c r="X23" s="1125"/>
      <c r="Y23" s="1089" t="s">
        <v>361</v>
      </c>
      <c r="Z23" s="1090"/>
      <c r="AA23" s="1129">
        <v>18.5</v>
      </c>
      <c r="AB23" s="1130">
        <v>70</v>
      </c>
    </row>
    <row r="24" spans="3:38" s="1072" customFormat="1" ht="15" customHeight="1" x14ac:dyDescent="0.2">
      <c r="C24" s="1116"/>
      <c r="D24" s="1057" t="s">
        <v>194</v>
      </c>
      <c r="E24" s="1009">
        <v>22</v>
      </c>
      <c r="F24" s="1009" t="s">
        <v>169</v>
      </c>
      <c r="G24" s="1125"/>
      <c r="H24" s="1099" t="s">
        <v>446</v>
      </c>
      <c r="I24" s="1118" t="s">
        <v>115</v>
      </c>
      <c r="J24" s="1119"/>
      <c r="K24" s="1009"/>
      <c r="L24" s="1009"/>
      <c r="M24" s="1117"/>
      <c r="N24" s="1069" t="s">
        <v>758</v>
      </c>
      <c r="O24" s="1057">
        <v>0</v>
      </c>
      <c r="P24" s="1009"/>
      <c r="Q24" s="1117"/>
      <c r="R24" s="1057" t="s">
        <v>346</v>
      </c>
      <c r="S24" s="1057">
        <v>4</v>
      </c>
      <c r="T24" s="1013" t="s">
        <v>529</v>
      </c>
      <c r="U24" s="1117"/>
      <c r="V24" s="1009"/>
      <c r="W24" s="1009"/>
      <c r="X24" s="1117"/>
      <c r="Y24" s="1089" t="s">
        <v>362</v>
      </c>
      <c r="Z24" s="1090"/>
      <c r="AA24" s="1129">
        <v>18.5</v>
      </c>
      <c r="AB24" s="1130">
        <v>70</v>
      </c>
    </row>
    <row r="25" spans="3:38" s="1072" customFormat="1" ht="15" customHeight="1" x14ac:dyDescent="0.2">
      <c r="C25" s="1116"/>
      <c r="D25" s="1009"/>
      <c r="E25" s="1009"/>
      <c r="F25" s="1117"/>
      <c r="G25" s="1125"/>
      <c r="H25" s="1099" t="s">
        <v>447</v>
      </c>
      <c r="I25" s="1118" t="s">
        <v>115</v>
      </c>
      <c r="J25" s="1119"/>
      <c r="K25" s="1009"/>
      <c r="L25" s="1009"/>
      <c r="M25" s="1117"/>
      <c r="N25" s="1069" t="s">
        <v>819</v>
      </c>
      <c r="O25" s="1057">
        <v>0</v>
      </c>
      <c r="P25" s="1009"/>
      <c r="Q25" s="1117"/>
      <c r="R25" s="1057" t="s">
        <v>425</v>
      </c>
      <c r="S25" s="1057">
        <v>2</v>
      </c>
      <c r="T25" s="1014" t="s">
        <v>195</v>
      </c>
      <c r="U25" s="1117"/>
      <c r="V25" s="1009"/>
      <c r="W25" s="1009"/>
      <c r="X25" s="1117"/>
      <c r="Y25" s="1089" t="s">
        <v>363</v>
      </c>
      <c r="Z25" s="1090"/>
      <c r="AA25" s="1129">
        <v>18.5</v>
      </c>
      <c r="AB25" s="1130">
        <v>70</v>
      </c>
    </row>
    <row r="26" spans="3:38" s="1072" customFormat="1" ht="15" customHeight="1" thickBot="1" x14ac:dyDescent="0.25">
      <c r="C26" s="1116"/>
      <c r="D26" s="1009"/>
      <c r="E26" s="1009"/>
      <c r="F26" s="1117"/>
      <c r="G26" s="1125"/>
      <c r="H26" s="1099" t="s">
        <v>448</v>
      </c>
      <c r="I26" s="1118" t="s">
        <v>115</v>
      </c>
      <c r="J26" s="1119"/>
      <c r="K26" s="1009"/>
      <c r="L26" s="1009"/>
      <c r="M26" s="1117"/>
      <c r="N26" s="1069" t="s">
        <v>788</v>
      </c>
      <c r="O26" s="1057">
        <v>0</v>
      </c>
      <c r="P26" s="1009"/>
      <c r="Q26" s="1117"/>
      <c r="R26" s="1057" t="s">
        <v>347</v>
      </c>
      <c r="S26" s="1057">
        <v>6</v>
      </c>
      <c r="T26" s="1014" t="s">
        <v>197</v>
      </c>
      <c r="U26" s="1117"/>
      <c r="V26" s="1009"/>
      <c r="W26" s="1009"/>
      <c r="X26" s="1117"/>
      <c r="Y26" s="1089" t="s">
        <v>364</v>
      </c>
      <c r="Z26" s="1090"/>
      <c r="AA26" s="1129">
        <v>18.5</v>
      </c>
      <c r="AB26" s="1130">
        <v>70</v>
      </c>
    </row>
    <row r="27" spans="3:38" s="1072" customFormat="1" ht="15" customHeight="1" x14ac:dyDescent="0.2">
      <c r="C27" s="1116"/>
      <c r="D27" s="1044" t="s">
        <v>267</v>
      </c>
      <c r="E27" s="1009"/>
      <c r="F27" s="1117"/>
      <c r="G27" s="1125"/>
      <c r="H27" s="1099" t="s">
        <v>449</v>
      </c>
      <c r="I27" s="1118" t="s">
        <v>115</v>
      </c>
      <c r="J27" s="1119"/>
      <c r="K27" s="1009"/>
      <c r="L27" s="1009"/>
      <c r="M27" s="1117"/>
      <c r="N27" s="1069" t="s">
        <v>820</v>
      </c>
      <c r="O27" s="1057">
        <v>0</v>
      </c>
      <c r="P27" s="1009"/>
      <c r="Q27" s="1117"/>
      <c r="R27" s="1057" t="s">
        <v>348</v>
      </c>
      <c r="S27" s="1057">
        <v>6</v>
      </c>
      <c r="T27" s="1014" t="s">
        <v>492</v>
      </c>
      <c r="U27" s="1117"/>
      <c r="V27" s="1009"/>
      <c r="W27" s="1009"/>
      <c r="X27" s="1117"/>
      <c r="Y27" s="1089" t="s">
        <v>365</v>
      </c>
      <c r="Z27" s="1090"/>
      <c r="AA27" s="1129">
        <v>18.5</v>
      </c>
      <c r="AB27" s="1130">
        <v>70</v>
      </c>
    </row>
    <row r="28" spans="3:38" s="1072" customFormat="1" ht="15" customHeight="1" x14ac:dyDescent="0.2">
      <c r="C28" s="1116"/>
      <c r="D28" s="1057" t="s">
        <v>832</v>
      </c>
      <c r="E28" s="1009"/>
      <c r="F28" s="1117"/>
      <c r="G28" s="1125"/>
      <c r="H28" s="1099" t="s">
        <v>450</v>
      </c>
      <c r="I28" s="1118" t="s">
        <v>115</v>
      </c>
      <c r="J28" s="1119"/>
      <c r="K28" s="1009"/>
      <c r="L28" s="1009"/>
      <c r="M28" s="1117"/>
      <c r="N28" s="1069" t="s">
        <v>821</v>
      </c>
      <c r="O28" s="1057">
        <v>0</v>
      </c>
      <c r="P28" s="1057"/>
      <c r="Q28" s="1117"/>
      <c r="R28" s="1057" t="s">
        <v>349</v>
      </c>
      <c r="S28" s="1057">
        <v>8</v>
      </c>
      <c r="T28" s="1009"/>
      <c r="U28" s="1117"/>
      <c r="V28" s="1009"/>
      <c r="W28" s="1009"/>
      <c r="X28" s="1117"/>
      <c r="Y28" s="1089" t="s">
        <v>366</v>
      </c>
      <c r="Z28" s="1090"/>
      <c r="AA28" s="1129">
        <v>18.5</v>
      </c>
      <c r="AB28" s="1130">
        <v>70</v>
      </c>
    </row>
    <row r="29" spans="3:38" s="1072" customFormat="1" ht="15" customHeight="1" x14ac:dyDescent="0.2">
      <c r="C29" s="1116"/>
      <c r="D29" s="1057" t="s">
        <v>50</v>
      </c>
      <c r="E29" s="1009"/>
      <c r="F29" s="1117"/>
      <c r="G29" s="1117"/>
      <c r="H29" s="1099" t="s">
        <v>451</v>
      </c>
      <c r="I29" s="1118" t="s">
        <v>115</v>
      </c>
      <c r="J29" s="1119"/>
      <c r="K29" s="1009"/>
      <c r="L29" s="1009"/>
      <c r="M29" s="1117"/>
      <c r="N29" s="1069" t="s">
        <v>823</v>
      </c>
      <c r="O29" s="1057">
        <v>0</v>
      </c>
      <c r="P29" s="1057"/>
      <c r="Q29" s="1117"/>
      <c r="R29" s="1057" t="s">
        <v>350</v>
      </c>
      <c r="S29" s="1057">
        <v>8</v>
      </c>
      <c r="T29" s="1009"/>
      <c r="U29" s="1117"/>
      <c r="V29" s="1009"/>
      <c r="W29" s="1009"/>
      <c r="X29" s="1117"/>
      <c r="Y29" s="1089" t="s">
        <v>367</v>
      </c>
      <c r="Z29" s="1090"/>
      <c r="AA29" s="1129">
        <v>18.5</v>
      </c>
      <c r="AB29" s="1130">
        <v>70</v>
      </c>
    </row>
    <row r="30" spans="3:38" s="1072" customFormat="1" ht="15" customHeight="1" x14ac:dyDescent="0.2">
      <c r="C30" s="1116"/>
      <c r="D30" s="1057" t="s">
        <v>837</v>
      </c>
      <c r="E30" s="1009"/>
      <c r="F30" s="1117"/>
      <c r="G30" s="1117"/>
      <c r="H30" s="1099" t="s">
        <v>452</v>
      </c>
      <c r="I30" s="1118" t="s">
        <v>115</v>
      </c>
      <c r="J30" s="1119"/>
      <c r="K30" s="1009"/>
      <c r="L30" s="1009"/>
      <c r="M30" s="1117"/>
      <c r="N30" s="1057"/>
      <c r="O30" s="1057"/>
      <c r="P30" s="1057"/>
      <c r="Q30" s="1117"/>
      <c r="R30" s="1057"/>
      <c r="S30" s="1057"/>
      <c r="T30" s="1009"/>
      <c r="U30" s="1117"/>
      <c r="V30" s="1009"/>
      <c r="W30" s="1009"/>
      <c r="X30" s="1117"/>
      <c r="Y30" s="1093" t="s">
        <v>368</v>
      </c>
      <c r="Z30" s="1094"/>
      <c r="AA30" s="1095">
        <v>18.5</v>
      </c>
      <c r="AB30" s="1131">
        <v>70</v>
      </c>
    </row>
    <row r="31" spans="3:38" s="1072" customFormat="1" ht="15" customHeight="1" x14ac:dyDescent="0.2">
      <c r="C31" s="1116"/>
      <c r="D31" s="1057" t="s">
        <v>282</v>
      </c>
      <c r="E31" s="1009"/>
      <c r="F31" s="1117"/>
      <c r="G31" s="1117"/>
      <c r="H31" s="1099" t="s">
        <v>453</v>
      </c>
      <c r="I31" s="1118" t="s">
        <v>115</v>
      </c>
      <c r="J31" s="1119"/>
      <c r="K31" s="1009"/>
      <c r="L31" s="1009"/>
      <c r="M31" s="1117"/>
      <c r="N31" s="1057"/>
      <c r="O31" s="1057"/>
      <c r="P31" s="1057"/>
      <c r="Q31" s="1117"/>
      <c r="R31" s="1057"/>
      <c r="S31" s="1057"/>
      <c r="T31" s="1009"/>
      <c r="U31" s="1117"/>
      <c r="V31" s="1009"/>
      <c r="W31" s="1009"/>
      <c r="X31" s="1117"/>
      <c r="Y31" s="1093" t="s">
        <v>369</v>
      </c>
      <c r="Z31" s="1094"/>
      <c r="AA31" s="1095">
        <v>18.5</v>
      </c>
      <c r="AB31" s="1131">
        <v>70</v>
      </c>
    </row>
    <row r="32" spans="3:38" s="1072" customFormat="1" ht="15" customHeight="1" thickBot="1" x14ac:dyDescent="0.25">
      <c r="C32" s="1116"/>
      <c r="D32" s="1057"/>
      <c r="E32" s="1009"/>
      <c r="F32" s="1117"/>
      <c r="G32" s="1117"/>
      <c r="H32" s="1099" t="s">
        <v>100</v>
      </c>
      <c r="I32" s="1118" t="s">
        <v>115</v>
      </c>
      <c r="J32" s="1119"/>
      <c r="K32" s="1009"/>
      <c r="L32" s="1009"/>
      <c r="M32" s="1117"/>
      <c r="N32" s="1057"/>
      <c r="O32" s="1057"/>
      <c r="P32" s="1057"/>
      <c r="Q32" s="1117"/>
      <c r="R32" s="1057"/>
      <c r="S32" s="1057"/>
      <c r="T32" s="1057"/>
      <c r="U32" s="1117"/>
      <c r="V32" s="1009"/>
      <c r="W32" s="1009"/>
      <c r="X32" s="1117"/>
      <c r="Y32" s="482" t="s">
        <v>178</v>
      </c>
      <c r="Z32" s="1132">
        <v>0</v>
      </c>
      <c r="AA32" s="1132">
        <v>0</v>
      </c>
      <c r="AI32" s="1073"/>
      <c r="AJ32" s="1073"/>
      <c r="AK32" s="1073"/>
      <c r="AL32" s="1073"/>
    </row>
    <row r="33" spans="3:42" s="1072" customFormat="1" ht="15" customHeight="1" x14ac:dyDescent="0.2">
      <c r="C33" s="1116"/>
      <c r="D33" s="1044" t="s">
        <v>299</v>
      </c>
      <c r="E33" s="1009"/>
      <c r="F33" s="1117"/>
      <c r="G33" s="1117"/>
      <c r="H33" s="1099" t="s">
        <v>101</v>
      </c>
      <c r="I33" s="1118" t="s">
        <v>115</v>
      </c>
      <c r="J33" s="1119"/>
      <c r="K33" s="1009"/>
      <c r="L33" s="1009"/>
      <c r="M33" s="1117"/>
      <c r="N33" s="1057"/>
      <c r="O33" s="1057"/>
      <c r="P33" s="1057"/>
      <c r="Q33" s="1117"/>
      <c r="R33" s="1057"/>
      <c r="S33" s="1057"/>
      <c r="T33" s="1057"/>
      <c r="U33" s="1117"/>
      <c r="V33" s="1009"/>
      <c r="W33" s="1009"/>
      <c r="X33" s="1117"/>
      <c r="Y33" s="1098" t="s">
        <v>528</v>
      </c>
      <c r="Z33" s="1010">
        <v>13.5</v>
      </c>
      <c r="AA33" s="1010">
        <v>13.5</v>
      </c>
      <c r="AC33" s="1128"/>
      <c r="AE33" s="1073"/>
      <c r="AF33" s="1073"/>
      <c r="AI33" s="1073"/>
      <c r="AJ33" s="1073"/>
      <c r="AK33" s="1073"/>
      <c r="AL33" s="1073"/>
      <c r="AN33" s="1073"/>
      <c r="AP33" s="1073"/>
    </row>
    <row r="34" spans="3:42" ht="15" customHeight="1" x14ac:dyDescent="0.2">
      <c r="C34" s="1133"/>
      <c r="D34" s="1057" t="s">
        <v>49</v>
      </c>
      <c r="E34" s="1009"/>
      <c r="F34" s="1117"/>
      <c r="G34" s="1134"/>
      <c r="H34" s="1099" t="s">
        <v>102</v>
      </c>
      <c r="I34" s="1118" t="s">
        <v>115</v>
      </c>
      <c r="J34" s="1135"/>
      <c r="K34" s="1057"/>
      <c r="L34" s="1057"/>
      <c r="M34" s="1134"/>
      <c r="N34" s="1057"/>
      <c r="O34" s="1057"/>
      <c r="P34" s="1057"/>
      <c r="Q34" s="1134"/>
      <c r="R34" s="1057"/>
      <c r="S34" s="1057"/>
      <c r="T34" s="1057"/>
      <c r="U34" s="1134"/>
      <c r="V34" s="1009"/>
      <c r="W34" s="1009"/>
      <c r="X34" s="1134"/>
      <c r="Y34" s="1098" t="s">
        <v>217</v>
      </c>
      <c r="Z34" s="1010">
        <v>15.5</v>
      </c>
      <c r="AA34" s="1010">
        <v>15.5</v>
      </c>
      <c r="AB34" s="1072"/>
      <c r="AC34" s="1128"/>
      <c r="AG34" s="1072"/>
      <c r="AH34" s="1072"/>
      <c r="AM34" s="1072"/>
    </row>
    <row r="35" spans="3:42" ht="15" customHeight="1" x14ac:dyDescent="0.2">
      <c r="C35" s="1133"/>
      <c r="D35" s="1057" t="s">
        <v>832</v>
      </c>
      <c r="E35" s="1009"/>
      <c r="F35" s="1117"/>
      <c r="G35" s="1134"/>
      <c r="H35" s="1099" t="s">
        <v>455</v>
      </c>
      <c r="I35" s="1118" t="s">
        <v>115</v>
      </c>
      <c r="J35" s="1135"/>
      <c r="K35" s="1057"/>
      <c r="L35" s="1057"/>
      <c r="M35" s="1134"/>
      <c r="N35" s="1057"/>
      <c r="O35" s="1057"/>
      <c r="P35" s="1057"/>
      <c r="Q35" s="1134"/>
      <c r="R35" s="1057"/>
      <c r="S35" s="1057"/>
      <c r="T35" s="1057"/>
      <c r="U35" s="1134"/>
      <c r="V35" s="1009"/>
      <c r="W35" s="1009"/>
      <c r="X35" s="1134"/>
      <c r="Y35" s="1098" t="s">
        <v>179</v>
      </c>
      <c r="Z35" s="1010">
        <v>17.5</v>
      </c>
      <c r="AA35" s="1010">
        <v>17.5</v>
      </c>
      <c r="AB35" s="1072"/>
      <c r="AC35" s="1128"/>
      <c r="AG35" s="1072"/>
      <c r="AH35" s="1072"/>
      <c r="AM35" s="1072"/>
    </row>
    <row r="36" spans="3:42" ht="15" customHeight="1" x14ac:dyDescent="0.2">
      <c r="C36" s="1133"/>
      <c r="D36" s="1057" t="s">
        <v>50</v>
      </c>
      <c r="E36" s="1009"/>
      <c r="F36" s="1117"/>
      <c r="G36" s="1134"/>
      <c r="H36" s="1099" t="s">
        <v>103</v>
      </c>
      <c r="I36" s="1118" t="s">
        <v>115</v>
      </c>
      <c r="J36" s="1135"/>
      <c r="K36" s="1057"/>
      <c r="L36" s="1057"/>
      <c r="M36" s="1134"/>
      <c r="N36" s="1057"/>
      <c r="O36" s="1057"/>
      <c r="P36" s="1057"/>
      <c r="Q36" s="1134"/>
      <c r="R36" s="1057"/>
      <c r="S36" s="1057"/>
      <c r="T36" s="1057"/>
      <c r="U36" s="1134"/>
      <c r="V36" s="1009"/>
      <c r="W36" s="1009"/>
      <c r="X36" s="1134"/>
      <c r="Y36" s="1098" t="s">
        <v>180</v>
      </c>
      <c r="Z36" s="1010">
        <v>19.5</v>
      </c>
      <c r="AA36" s="1010">
        <v>19.5</v>
      </c>
      <c r="AB36" s="1072"/>
      <c r="AC36" s="1128"/>
      <c r="AG36" s="1072"/>
      <c r="AH36" s="1072"/>
      <c r="AM36" s="1072"/>
    </row>
    <row r="37" spans="3:42" ht="15" customHeight="1" x14ac:dyDescent="0.2">
      <c r="D37" s="1057" t="s">
        <v>82</v>
      </c>
      <c r="E37" s="1057"/>
      <c r="F37" s="1134"/>
      <c r="G37" s="1134"/>
      <c r="H37" s="1099" t="s">
        <v>825</v>
      </c>
      <c r="I37" s="1118" t="s">
        <v>115</v>
      </c>
      <c r="J37" s="1135"/>
      <c r="K37" s="1057"/>
      <c r="L37" s="1057"/>
      <c r="M37" s="1134"/>
      <c r="N37" s="1057"/>
      <c r="O37" s="1057"/>
      <c r="P37" s="1057"/>
      <c r="Q37" s="1134"/>
      <c r="R37" s="1057"/>
      <c r="S37" s="1057"/>
      <c r="T37" s="1057"/>
      <c r="U37" s="1134"/>
      <c r="V37" s="1009"/>
      <c r="W37" s="1009"/>
      <c r="X37" s="1134"/>
      <c r="Y37" s="1098" t="s">
        <v>181</v>
      </c>
      <c r="Z37" s="1010">
        <v>24</v>
      </c>
      <c r="AA37" s="1010">
        <v>24</v>
      </c>
      <c r="AB37" s="1072"/>
      <c r="AC37" s="1098"/>
      <c r="AH37" s="1072"/>
      <c r="AM37" s="1072"/>
    </row>
    <row r="38" spans="3:42" ht="15" customHeight="1" x14ac:dyDescent="0.2">
      <c r="D38" s="1057" t="s">
        <v>194</v>
      </c>
      <c r="E38" s="1057"/>
      <c r="F38" s="1134"/>
      <c r="G38" s="1134"/>
      <c r="H38" s="1099" t="s">
        <v>105</v>
      </c>
      <c r="I38" s="1118" t="s">
        <v>115</v>
      </c>
      <c r="J38" s="1135"/>
      <c r="K38" s="1057"/>
      <c r="L38" s="1057"/>
      <c r="M38" s="1134"/>
      <c r="N38" s="1057"/>
      <c r="O38" s="1057"/>
      <c r="P38" s="1057"/>
      <c r="Q38" s="1134"/>
      <c r="R38" s="1057"/>
      <c r="S38" s="1057"/>
      <c r="T38" s="1057"/>
      <c r="U38" s="1134"/>
      <c r="V38" s="1009"/>
      <c r="W38" s="1009"/>
      <c r="X38" s="1134"/>
      <c r="Y38" s="140" t="s">
        <v>296</v>
      </c>
      <c r="Z38" s="140">
        <v>0</v>
      </c>
      <c r="AA38" s="140">
        <v>0</v>
      </c>
      <c r="AB38" s="1072"/>
      <c r="AC38" s="1098"/>
      <c r="AH38" s="1072"/>
    </row>
    <row r="39" spans="3:42" ht="15" customHeight="1" x14ac:dyDescent="0.2">
      <c r="D39" s="1057" t="s">
        <v>312</v>
      </c>
      <c r="E39" s="1057"/>
      <c r="F39" s="1134"/>
      <c r="G39" s="1134"/>
      <c r="H39" s="1099" t="s">
        <v>106</v>
      </c>
      <c r="I39" s="1118" t="s">
        <v>115</v>
      </c>
      <c r="J39" s="1135"/>
      <c r="K39" s="1057"/>
      <c r="L39" s="1057"/>
      <c r="M39" s="1134"/>
      <c r="N39" s="1057"/>
      <c r="O39" s="1057"/>
      <c r="P39" s="1057"/>
      <c r="Q39" s="1134"/>
      <c r="R39" s="1057"/>
      <c r="S39" s="1057"/>
      <c r="T39" s="1057"/>
      <c r="U39" s="1134"/>
      <c r="V39" s="1009"/>
      <c r="W39" s="1009"/>
      <c r="X39" s="1134"/>
      <c r="Y39" s="1009"/>
      <c r="Z39" s="1009"/>
      <c r="AA39" s="1128"/>
      <c r="AB39" s="1072"/>
      <c r="AC39" s="1098"/>
    </row>
    <row r="40" spans="3:42" ht="15" customHeight="1" x14ac:dyDescent="0.2">
      <c r="D40" s="1057" t="s">
        <v>313</v>
      </c>
      <c r="E40" s="1057"/>
      <c r="F40" s="1134"/>
      <c r="G40" s="1134"/>
      <c r="H40" s="1136" t="s">
        <v>108</v>
      </c>
      <c r="I40" s="1118" t="s">
        <v>115</v>
      </c>
      <c r="J40" s="1119">
        <v>1</v>
      </c>
      <c r="K40" s="1057"/>
      <c r="L40" s="1057"/>
      <c r="M40" s="1134"/>
      <c r="N40" s="1057"/>
      <c r="O40" s="1057"/>
      <c r="P40" s="1057"/>
      <c r="Q40" s="1134"/>
      <c r="R40" s="1057"/>
      <c r="S40" s="1057"/>
      <c r="T40" s="1057"/>
      <c r="U40" s="1134"/>
      <c r="V40" s="1009"/>
      <c r="W40" s="1009"/>
      <c r="X40" s="1134"/>
      <c r="Y40" s="1009"/>
      <c r="Z40" s="1009"/>
      <c r="AA40" s="1128"/>
      <c r="AB40" s="1009"/>
      <c r="AC40" s="1098"/>
    </row>
    <row r="41" spans="3:42" ht="15" customHeight="1" x14ac:dyDescent="0.2">
      <c r="D41" s="1057" t="s">
        <v>833</v>
      </c>
      <c r="E41" s="1057"/>
      <c r="F41" s="1134"/>
      <c r="G41" s="1134"/>
      <c r="H41" s="1137" t="s">
        <v>109</v>
      </c>
      <c r="I41" s="1118" t="s">
        <v>115</v>
      </c>
      <c r="J41" s="1119">
        <v>1</v>
      </c>
      <c r="K41" s="1057"/>
      <c r="L41" s="1057"/>
      <c r="M41" s="1134"/>
      <c r="N41" s="1057"/>
      <c r="O41" s="1057"/>
      <c r="P41" s="1057"/>
      <c r="Q41" s="1134"/>
      <c r="R41" s="1057"/>
      <c r="S41" s="1057"/>
      <c r="T41" s="1057"/>
      <c r="U41" s="1134"/>
      <c r="V41" s="1009"/>
      <c r="W41" s="1009"/>
      <c r="X41" s="1134"/>
      <c r="Y41" s="1009"/>
      <c r="Z41" s="1009"/>
      <c r="AA41" s="1128"/>
      <c r="AB41" s="1009"/>
      <c r="AC41" s="1098"/>
    </row>
    <row r="42" spans="3:42" ht="24" x14ac:dyDescent="0.2">
      <c r="D42" s="1057" t="s">
        <v>834</v>
      </c>
      <c r="E42" s="1057"/>
      <c r="F42" s="1134"/>
      <c r="G42" s="1134"/>
      <c r="H42" s="1137" t="s">
        <v>456</v>
      </c>
      <c r="I42" s="1118" t="s">
        <v>115</v>
      </c>
      <c r="J42" s="1119">
        <v>1</v>
      </c>
      <c r="K42" s="1057"/>
      <c r="L42" s="1057"/>
      <c r="M42" s="1134"/>
      <c r="N42" s="1057"/>
      <c r="O42" s="1057"/>
      <c r="P42" s="1057"/>
      <c r="Q42" s="1134"/>
      <c r="R42" s="1057"/>
      <c r="S42" s="1057"/>
      <c r="T42" s="1057"/>
      <c r="U42" s="1134"/>
      <c r="V42" s="1009"/>
      <c r="W42" s="1009"/>
      <c r="X42" s="1134"/>
      <c r="Y42" s="1009"/>
      <c r="Z42" s="1009"/>
      <c r="AA42" s="1128"/>
      <c r="AB42" s="1009"/>
      <c r="AC42" s="1098"/>
    </row>
    <row r="43" spans="3:42" x14ac:dyDescent="0.2">
      <c r="D43" s="1057" t="s">
        <v>322</v>
      </c>
      <c r="E43" s="1057"/>
      <c r="F43" s="1134"/>
      <c r="G43" s="1134"/>
      <c r="H43" s="1137" t="s">
        <v>110</v>
      </c>
      <c r="I43" s="1118" t="s">
        <v>115</v>
      </c>
      <c r="J43" s="1119">
        <v>1</v>
      </c>
      <c r="K43" s="1057"/>
      <c r="L43" s="1057"/>
      <c r="M43" s="1134"/>
      <c r="N43" s="1057"/>
      <c r="O43" s="1057"/>
      <c r="P43" s="1057"/>
      <c r="Q43" s="1134"/>
      <c r="R43" s="1057"/>
      <c r="S43" s="1057"/>
      <c r="T43" s="1057"/>
      <c r="U43" s="1134"/>
      <c r="V43" s="1009"/>
      <c r="W43" s="1009"/>
      <c r="X43" s="1134"/>
      <c r="Y43" s="1009"/>
      <c r="Z43" s="1009"/>
      <c r="AA43" s="1128"/>
      <c r="AB43" s="1009"/>
      <c r="AC43" s="1098"/>
    </row>
    <row r="44" spans="3:42" ht="24" x14ac:dyDescent="0.2">
      <c r="D44" s="1057" t="s">
        <v>323</v>
      </c>
      <c r="E44" s="1057"/>
      <c r="F44" s="1134"/>
      <c r="G44" s="1134"/>
      <c r="H44" s="1138" t="s">
        <v>111</v>
      </c>
      <c r="I44" s="1118" t="s">
        <v>115</v>
      </c>
      <c r="J44" s="1119">
        <v>1</v>
      </c>
      <c r="K44" s="1057"/>
      <c r="L44" s="1057"/>
      <c r="M44" s="1134"/>
      <c r="N44" s="1057"/>
      <c r="O44" s="1057"/>
      <c r="P44" s="1057"/>
      <c r="Q44" s="1134"/>
      <c r="R44" s="1057"/>
      <c r="S44" s="1057"/>
      <c r="T44" s="1057"/>
      <c r="U44" s="1134"/>
      <c r="V44" s="1009"/>
      <c r="W44" s="1009"/>
      <c r="X44" s="1134"/>
      <c r="Y44" s="1009"/>
      <c r="Z44" s="1009"/>
      <c r="AA44" s="1128"/>
      <c r="AB44" s="1057"/>
      <c r="AC44" s="1098"/>
    </row>
    <row r="45" spans="3:42" x14ac:dyDescent="0.2">
      <c r="D45" s="1057" t="s">
        <v>316</v>
      </c>
      <c r="E45" s="1057"/>
      <c r="F45" s="1134"/>
      <c r="G45" s="1134"/>
      <c r="H45" s="1139" t="s">
        <v>165</v>
      </c>
      <c r="I45" s="1118" t="s">
        <v>115</v>
      </c>
      <c r="J45" s="1119">
        <v>1</v>
      </c>
      <c r="K45" s="1057"/>
      <c r="L45" s="1057"/>
      <c r="M45" s="1134"/>
      <c r="N45" s="1057"/>
      <c r="O45" s="1057"/>
      <c r="P45" s="1057"/>
      <c r="Q45" s="1134"/>
      <c r="R45" s="1057"/>
      <c r="S45" s="1057"/>
      <c r="T45" s="1057"/>
      <c r="U45" s="1134"/>
      <c r="V45" s="1009"/>
      <c r="W45" s="1057"/>
      <c r="X45" s="1134"/>
      <c r="Y45" s="1009"/>
      <c r="Z45" s="1009"/>
      <c r="AA45" s="1128"/>
      <c r="AB45" s="1057"/>
      <c r="AC45" s="1098"/>
    </row>
    <row r="46" spans="3:42" x14ac:dyDescent="0.2">
      <c r="D46" s="1057" t="s">
        <v>317</v>
      </c>
      <c r="E46" s="1057"/>
      <c r="F46" s="1134"/>
      <c r="G46" s="1134"/>
      <c r="H46" s="1139" t="s">
        <v>166</v>
      </c>
      <c r="I46" s="1118" t="s">
        <v>115</v>
      </c>
      <c r="J46" s="1119">
        <v>1</v>
      </c>
      <c r="K46" s="1057"/>
      <c r="L46" s="1057"/>
      <c r="M46" s="1134"/>
      <c r="N46" s="1057"/>
      <c r="O46" s="1057"/>
      <c r="P46" s="1057"/>
      <c r="Q46" s="1134"/>
      <c r="R46" s="1057"/>
      <c r="S46" s="1057"/>
      <c r="T46" s="1057"/>
      <c r="U46" s="1134"/>
      <c r="V46" s="1009"/>
      <c r="W46" s="1057"/>
      <c r="X46" s="1134"/>
      <c r="Y46" s="1009"/>
      <c r="Z46" s="1009"/>
      <c r="AA46" s="1128"/>
      <c r="AB46" s="1057"/>
      <c r="AC46" s="1098"/>
    </row>
    <row r="47" spans="3:42" x14ac:dyDescent="0.2">
      <c r="D47" s="1057" t="s">
        <v>835</v>
      </c>
      <c r="E47" s="1057"/>
      <c r="F47" s="1134"/>
      <c r="G47" s="1134"/>
      <c r="H47" s="1139" t="s">
        <v>167</v>
      </c>
      <c r="I47" s="1118" t="s">
        <v>115</v>
      </c>
      <c r="J47" s="1119">
        <v>1</v>
      </c>
      <c r="K47" s="1057"/>
      <c r="L47" s="1057"/>
      <c r="M47" s="1134"/>
      <c r="N47" s="1057"/>
      <c r="O47" s="1057"/>
      <c r="P47" s="1057"/>
      <c r="Q47" s="1134"/>
      <c r="R47" s="1057"/>
      <c r="S47" s="1057"/>
      <c r="T47" s="1057"/>
      <c r="U47" s="1134"/>
      <c r="V47" s="1009"/>
      <c r="W47" s="1057"/>
      <c r="X47" s="1134"/>
      <c r="Y47" s="1009"/>
      <c r="Z47" s="1009"/>
      <c r="AA47" s="1009"/>
      <c r="AB47" s="1057"/>
      <c r="AC47" s="1098"/>
    </row>
    <row r="48" spans="3:42" x14ac:dyDescent="0.2">
      <c r="D48" s="1057" t="s">
        <v>836</v>
      </c>
      <c r="E48" s="1057"/>
      <c r="F48" s="1134"/>
      <c r="G48" s="1134"/>
      <c r="H48" s="1139" t="s">
        <v>428</v>
      </c>
      <c r="I48" s="1118" t="s">
        <v>115</v>
      </c>
      <c r="J48" s="1119">
        <v>1</v>
      </c>
      <c r="K48" s="1057"/>
      <c r="L48" s="1057"/>
      <c r="M48" s="1134"/>
      <c r="N48" s="1057"/>
      <c r="O48" s="1057"/>
      <c r="P48" s="1057"/>
      <c r="Q48" s="1134"/>
      <c r="R48" s="1057"/>
      <c r="S48" s="1057"/>
      <c r="T48" s="1057"/>
      <c r="U48" s="1134"/>
      <c r="V48" s="1009"/>
      <c r="W48" s="1057"/>
      <c r="X48" s="1134"/>
      <c r="Y48" s="1009"/>
      <c r="Z48" s="1009"/>
      <c r="AA48" s="1009"/>
      <c r="AB48" s="1057"/>
      <c r="AC48" s="1098"/>
    </row>
    <row r="49" spans="4:29" x14ac:dyDescent="0.2">
      <c r="D49" s="1057" t="s">
        <v>318</v>
      </c>
      <c r="E49" s="1057"/>
      <c r="F49" s="1134"/>
      <c r="G49" s="1134"/>
      <c r="H49" s="1139" t="s">
        <v>374</v>
      </c>
      <c r="I49" s="1118" t="s">
        <v>115</v>
      </c>
      <c r="J49" s="1119">
        <v>1</v>
      </c>
      <c r="K49" s="1057"/>
      <c r="L49" s="1057"/>
      <c r="M49" s="1134"/>
      <c r="N49" s="1057"/>
      <c r="O49" s="1057"/>
      <c r="P49" s="1057"/>
      <c r="Q49" s="1134"/>
      <c r="R49" s="1057"/>
      <c r="S49" s="1057"/>
      <c r="T49" s="1057"/>
      <c r="U49" s="1134"/>
      <c r="V49" s="1009"/>
      <c r="W49" s="1057"/>
      <c r="X49" s="1134"/>
      <c r="Y49" s="1009"/>
      <c r="Z49" s="1009"/>
      <c r="AA49" s="1009"/>
      <c r="AB49" s="1057"/>
      <c r="AC49" s="1098"/>
    </row>
    <row r="50" spans="4:29" x14ac:dyDescent="0.2">
      <c r="D50" s="1057" t="s">
        <v>319</v>
      </c>
      <c r="E50" s="1057"/>
      <c r="F50" s="1134"/>
      <c r="G50" s="1134"/>
      <c r="H50" s="1139" t="s">
        <v>454</v>
      </c>
      <c r="I50" s="1118" t="s">
        <v>115</v>
      </c>
      <c r="J50" s="1119">
        <v>1</v>
      </c>
      <c r="K50" s="1057"/>
      <c r="L50" s="1057"/>
      <c r="M50" s="1134"/>
      <c r="N50" s="1057"/>
      <c r="O50" s="1057"/>
      <c r="P50" s="1057"/>
      <c r="Q50" s="1134"/>
      <c r="R50" s="1057"/>
      <c r="S50" s="1057"/>
      <c r="T50" s="1057"/>
      <c r="U50" s="1134"/>
      <c r="V50" s="1009"/>
      <c r="W50" s="1057"/>
      <c r="X50" s="1134"/>
      <c r="Y50" s="1009"/>
      <c r="Z50" s="1009"/>
      <c r="AA50" s="1009"/>
      <c r="AB50" s="1057"/>
      <c r="AC50" s="1098"/>
    </row>
    <row r="51" spans="4:29" x14ac:dyDescent="0.2">
      <c r="E51" s="1057"/>
      <c r="F51" s="1134"/>
      <c r="G51" s="1134"/>
      <c r="H51" s="1139" t="s">
        <v>488</v>
      </c>
      <c r="I51" s="1118" t="s">
        <v>115</v>
      </c>
      <c r="J51" s="1119">
        <v>1</v>
      </c>
      <c r="K51" s="1057"/>
      <c r="L51" s="1057"/>
      <c r="M51" s="1134"/>
      <c r="N51" s="1057"/>
      <c r="O51" s="1057"/>
      <c r="P51" s="1057"/>
      <c r="Q51" s="1134"/>
      <c r="R51" s="1057"/>
      <c r="S51" s="1057"/>
      <c r="T51" s="1057"/>
      <c r="U51" s="1134"/>
      <c r="V51" s="1009"/>
      <c r="W51" s="1057"/>
      <c r="X51" s="1134"/>
      <c r="Y51" s="1009"/>
      <c r="Z51" s="1009"/>
      <c r="AA51" s="1009"/>
      <c r="AB51" s="1057"/>
      <c r="AC51" s="1098"/>
    </row>
    <row r="52" spans="4:29" x14ac:dyDescent="0.2">
      <c r="E52" s="1057"/>
      <c r="F52" s="1134"/>
      <c r="G52" s="1134"/>
      <c r="H52" s="1139" t="s">
        <v>489</v>
      </c>
      <c r="I52" s="1118" t="s">
        <v>115</v>
      </c>
      <c r="J52" s="1119">
        <v>1</v>
      </c>
      <c r="K52" s="1057"/>
      <c r="L52" s="1057"/>
      <c r="M52" s="1134"/>
      <c r="N52" s="1057"/>
      <c r="O52" s="1057"/>
      <c r="P52" s="1057"/>
      <c r="Q52" s="1134"/>
      <c r="R52" s="1057"/>
      <c r="S52" s="1057"/>
      <c r="T52" s="1057"/>
      <c r="U52" s="1134"/>
      <c r="V52" s="1009"/>
      <c r="W52" s="1057"/>
      <c r="X52" s="1134"/>
      <c r="Y52" s="1009"/>
      <c r="Z52" s="1009"/>
      <c r="AA52" s="1009"/>
      <c r="AB52" s="1057"/>
      <c r="AC52" s="1098"/>
    </row>
    <row r="53" spans="4:29" x14ac:dyDescent="0.2">
      <c r="G53" s="1134"/>
      <c r="H53" s="1057" t="s">
        <v>490</v>
      </c>
      <c r="I53" s="1057" t="s">
        <v>115</v>
      </c>
      <c r="J53" s="1119">
        <v>1</v>
      </c>
      <c r="K53" s="1057"/>
      <c r="L53" s="1057"/>
      <c r="M53" s="1134"/>
      <c r="N53" s="1057"/>
      <c r="O53" s="1057"/>
      <c r="P53" s="1057"/>
      <c r="Q53" s="1134"/>
      <c r="R53" s="1057"/>
      <c r="S53" s="1057"/>
      <c r="T53" s="1057"/>
      <c r="U53" s="1134"/>
      <c r="V53" s="1009"/>
      <c r="W53" s="1057"/>
      <c r="X53" s="1134"/>
      <c r="Y53" s="1009"/>
      <c r="Z53" s="1009"/>
      <c r="AA53" s="1009"/>
      <c r="AB53" s="1057"/>
      <c r="AC53" s="1098"/>
    </row>
    <row r="54" spans="4:29" x14ac:dyDescent="0.2">
      <c r="G54" s="1134"/>
      <c r="H54" s="1057" t="s">
        <v>491</v>
      </c>
      <c r="I54" s="1057" t="s">
        <v>115</v>
      </c>
      <c r="J54" s="1119">
        <v>1</v>
      </c>
      <c r="K54" s="1057"/>
      <c r="L54" s="1057"/>
      <c r="M54" s="1134"/>
      <c r="N54" s="1057"/>
      <c r="O54" s="1057"/>
      <c r="P54" s="1057"/>
      <c r="Q54" s="1134"/>
      <c r="R54" s="1057"/>
      <c r="S54" s="1057"/>
      <c r="T54" s="1057"/>
      <c r="U54" s="1134"/>
      <c r="V54" s="1009"/>
      <c r="W54" s="1057"/>
      <c r="X54" s="1134"/>
      <c r="Y54" s="1009"/>
      <c r="Z54" s="1009"/>
      <c r="AA54" s="1009"/>
      <c r="AB54" s="1057"/>
      <c r="AC54" s="1098"/>
    </row>
    <row r="55" spans="4:29" x14ac:dyDescent="0.2">
      <c r="G55" s="1134"/>
      <c r="H55" s="1140"/>
      <c r="I55" s="1009"/>
      <c r="K55" s="1057"/>
      <c r="L55" s="1057"/>
      <c r="M55" s="1134"/>
      <c r="N55" s="1057"/>
      <c r="O55" s="1057"/>
      <c r="P55" s="1057"/>
      <c r="Q55" s="1134"/>
      <c r="T55" s="1057"/>
      <c r="U55" s="1134"/>
      <c r="V55" s="1009"/>
      <c r="W55" s="1057"/>
      <c r="X55" s="1134"/>
      <c r="Y55" s="1009"/>
      <c r="Z55" s="1009"/>
      <c r="AA55" s="1009"/>
      <c r="AB55" s="1057"/>
      <c r="AC55" s="1098"/>
    </row>
    <row r="56" spans="4:29" ht="15.75" x14ac:dyDescent="0.25">
      <c r="G56" s="1134"/>
      <c r="H56" s="472"/>
      <c r="I56" s="1009"/>
      <c r="K56" s="1057"/>
      <c r="L56" s="1057"/>
      <c r="M56" s="1134"/>
      <c r="N56" s="1057"/>
      <c r="O56" s="1057"/>
      <c r="P56" s="1057"/>
      <c r="Q56" s="1134"/>
      <c r="T56" s="1057"/>
      <c r="U56" s="1134"/>
      <c r="V56" s="1009"/>
      <c r="W56" s="1057"/>
      <c r="X56" s="1134"/>
      <c r="Y56" s="1009"/>
      <c r="Z56" s="1009"/>
      <c r="AA56" s="1009"/>
      <c r="AB56" s="1057"/>
      <c r="AC56" s="1098"/>
    </row>
    <row r="57" spans="4:29" ht="15.75" x14ac:dyDescent="0.25">
      <c r="G57" s="1134"/>
      <c r="H57" s="472"/>
      <c r="I57" s="1009"/>
      <c r="K57" s="1057"/>
      <c r="L57" s="1057"/>
      <c r="M57" s="1134"/>
      <c r="N57" s="1057"/>
      <c r="O57" s="1057"/>
      <c r="P57" s="1057"/>
      <c r="Q57" s="1134"/>
      <c r="U57" s="1134"/>
      <c r="V57" s="1009"/>
      <c r="W57" s="1057"/>
      <c r="X57" s="1134"/>
      <c r="Y57" s="1057"/>
      <c r="Z57" s="1057"/>
      <c r="AA57" s="1057"/>
      <c r="AB57" s="1057"/>
      <c r="AC57" s="1098"/>
    </row>
    <row r="58" spans="4:29" ht="15.75" x14ac:dyDescent="0.25">
      <c r="G58" s="1134"/>
      <c r="H58" s="472"/>
      <c r="I58" s="1072"/>
      <c r="K58" s="1057"/>
      <c r="L58" s="1057"/>
      <c r="M58" s="1134"/>
      <c r="N58" s="1057"/>
      <c r="O58" s="1057"/>
      <c r="P58" s="1057"/>
      <c r="Q58" s="1134"/>
      <c r="U58" s="1134"/>
      <c r="V58" s="1009"/>
      <c r="W58" s="1057"/>
      <c r="X58" s="1134"/>
      <c r="Y58" s="1057"/>
      <c r="Z58" s="1057"/>
      <c r="AA58" s="1057"/>
      <c r="AB58" s="1057"/>
      <c r="AC58" s="1098"/>
    </row>
    <row r="59" spans="4:29" x14ac:dyDescent="0.2">
      <c r="H59" s="1072"/>
      <c r="I59" s="1072"/>
      <c r="N59" s="1057"/>
      <c r="O59" s="1057"/>
      <c r="P59" s="1057"/>
      <c r="V59" s="1009"/>
      <c r="W59" s="1057"/>
      <c r="Y59" s="1057"/>
      <c r="Z59" s="1057"/>
      <c r="AA59" s="1057"/>
      <c r="AB59" s="1057"/>
      <c r="AC59" s="1098"/>
    </row>
    <row r="60" spans="4:29" x14ac:dyDescent="0.2">
      <c r="N60" s="1057"/>
      <c r="O60" s="1057"/>
      <c r="P60" s="1057"/>
      <c r="V60" s="1009"/>
      <c r="W60" s="1057"/>
      <c r="Y60" s="1057"/>
      <c r="Z60" s="1057"/>
      <c r="AA60" s="1057"/>
      <c r="AB60" s="1057"/>
      <c r="AC60" s="1098"/>
    </row>
    <row r="61" spans="4:29" x14ac:dyDescent="0.2">
      <c r="N61" s="1057"/>
      <c r="O61" s="1057"/>
      <c r="P61" s="1057"/>
      <c r="V61" s="1009"/>
      <c r="W61" s="1057"/>
      <c r="Y61" s="1057"/>
      <c r="Z61" s="1057"/>
      <c r="AA61" s="1057"/>
      <c r="AB61" s="1057"/>
      <c r="AC61" s="1098"/>
    </row>
    <row r="62" spans="4:29" x14ac:dyDescent="0.2">
      <c r="H62" s="1073" t="s">
        <v>794</v>
      </c>
      <c r="N62" s="1057"/>
      <c r="O62" s="1057"/>
      <c r="P62" s="1057"/>
      <c r="V62" s="1009"/>
      <c r="W62" s="1057"/>
      <c r="Y62" s="1057"/>
      <c r="Z62" s="1057"/>
      <c r="AA62" s="1057"/>
      <c r="AB62" s="1057"/>
      <c r="AC62" s="1098"/>
    </row>
    <row r="63" spans="4:29" x14ac:dyDescent="0.2">
      <c r="H63" s="1073" t="s">
        <v>795</v>
      </c>
      <c r="I63" s="1073">
        <v>239.04</v>
      </c>
      <c r="J63" s="1101">
        <v>1</v>
      </c>
      <c r="N63" s="1057"/>
      <c r="O63" s="1057"/>
      <c r="P63" s="1057"/>
      <c r="V63" s="1009"/>
      <c r="W63" s="1057"/>
      <c r="Y63" s="1057"/>
      <c r="Z63" s="1057"/>
      <c r="AA63" s="1057"/>
      <c r="AB63" s="1057"/>
      <c r="AC63" s="1098"/>
    </row>
    <row r="64" spans="4:29" x14ac:dyDescent="0.2">
      <c r="H64" s="1073" t="s">
        <v>796</v>
      </c>
      <c r="I64" s="1073">
        <v>239.03999999999996</v>
      </c>
      <c r="J64" s="1101">
        <v>1</v>
      </c>
      <c r="N64" s="1057"/>
      <c r="O64" s="1057"/>
      <c r="P64" s="1057"/>
      <c r="V64" s="1009"/>
      <c r="W64" s="1057"/>
      <c r="Y64" s="1057"/>
      <c r="Z64" s="1057"/>
      <c r="AA64" s="1057"/>
      <c r="AB64" s="1057"/>
      <c r="AC64" s="1098"/>
    </row>
    <row r="65" spans="8:29" x14ac:dyDescent="0.2">
      <c r="H65" s="1073" t="s">
        <v>798</v>
      </c>
      <c r="I65" s="1073">
        <v>239.03999999999996</v>
      </c>
      <c r="J65" s="1101">
        <v>1</v>
      </c>
      <c r="N65" s="1057"/>
      <c r="O65" s="1057"/>
      <c r="P65" s="1057"/>
      <c r="V65" s="1009"/>
      <c r="W65" s="1057"/>
      <c r="Y65" s="1057"/>
      <c r="Z65" s="1057"/>
      <c r="AA65" s="1057"/>
      <c r="AB65" s="1057"/>
      <c r="AC65" s="1098"/>
    </row>
    <row r="66" spans="8:29" x14ac:dyDescent="0.2">
      <c r="H66" s="1073" t="s">
        <v>799</v>
      </c>
      <c r="I66" s="1073">
        <v>239.03999999999996</v>
      </c>
      <c r="J66" s="1101">
        <v>1</v>
      </c>
      <c r="P66" s="1057"/>
      <c r="V66" s="1009"/>
      <c r="W66" s="1057"/>
      <c r="Y66" s="1057"/>
      <c r="Z66" s="1057"/>
      <c r="AA66" s="1057"/>
      <c r="AB66" s="1057"/>
      <c r="AC66" s="1098"/>
    </row>
    <row r="67" spans="8:29" x14ac:dyDescent="0.2">
      <c r="H67" s="1073" t="s">
        <v>800</v>
      </c>
      <c r="I67" s="1073">
        <v>239.03999999999996</v>
      </c>
      <c r="J67" s="1101">
        <v>1</v>
      </c>
      <c r="P67" s="1057"/>
      <c r="V67" s="1009"/>
      <c r="W67" s="1057"/>
      <c r="AB67" s="1057"/>
    </row>
    <row r="68" spans="8:29" x14ac:dyDescent="0.2">
      <c r="H68" s="1073" t="s">
        <v>801</v>
      </c>
      <c r="I68" s="1073">
        <v>239.03999999999996</v>
      </c>
      <c r="J68" s="1101">
        <v>1</v>
      </c>
      <c r="V68" s="1009"/>
      <c r="W68" s="1057"/>
      <c r="AB68" s="1057"/>
    </row>
    <row r="69" spans="8:29" x14ac:dyDescent="0.2">
      <c r="H69" s="1073" t="s">
        <v>802</v>
      </c>
      <c r="I69" s="1073">
        <v>239.03999999999996</v>
      </c>
      <c r="J69" s="1101">
        <v>1</v>
      </c>
      <c r="V69" s="1009"/>
      <c r="W69" s="1057"/>
      <c r="AB69" s="1057"/>
    </row>
    <row r="70" spans="8:29" x14ac:dyDescent="0.2">
      <c r="H70" s="1073" t="s">
        <v>803</v>
      </c>
      <c r="I70" s="1073">
        <v>239.03999999999996</v>
      </c>
      <c r="J70" s="1101">
        <v>1</v>
      </c>
      <c r="AB70" s="1057"/>
    </row>
    <row r="71" spans="8:29" x14ac:dyDescent="0.2">
      <c r="H71" s="1073" t="s">
        <v>804</v>
      </c>
      <c r="I71" s="1073">
        <v>239.03999999999996</v>
      </c>
      <c r="J71" s="1101">
        <v>1</v>
      </c>
      <c r="AB71" s="1057"/>
    </row>
    <row r="72" spans="8:29" x14ac:dyDescent="0.2">
      <c r="H72" s="1073" t="s">
        <v>808</v>
      </c>
      <c r="I72" s="1073">
        <v>239.03999999999996</v>
      </c>
      <c r="J72" s="1101">
        <v>1</v>
      </c>
      <c r="AB72" s="1057"/>
    </row>
    <row r="73" spans="8:29" x14ac:dyDescent="0.2">
      <c r="H73" s="1073" t="s">
        <v>809</v>
      </c>
      <c r="I73" s="1073">
        <v>239.03999999999996</v>
      </c>
      <c r="J73" s="1101">
        <v>1</v>
      </c>
      <c r="AB73" s="1057"/>
    </row>
    <row r="74" spans="8:29" x14ac:dyDescent="0.2">
      <c r="H74" s="1073" t="s">
        <v>810</v>
      </c>
      <c r="I74" s="1073">
        <v>239.03999999999996</v>
      </c>
      <c r="J74" s="1101">
        <v>1</v>
      </c>
    </row>
    <row r="75" spans="8:29" x14ac:dyDescent="0.2">
      <c r="H75" s="1073" t="s">
        <v>811</v>
      </c>
      <c r="I75" s="1073">
        <v>239.03999999999996</v>
      </c>
      <c r="J75" s="1101">
        <v>1</v>
      </c>
    </row>
    <row r="76" spans="8:29" x14ac:dyDescent="0.2">
      <c r="H76" s="1073" t="s">
        <v>812</v>
      </c>
      <c r="I76" s="1073">
        <v>239.03999999999996</v>
      </c>
      <c r="J76" s="1101">
        <v>1</v>
      </c>
    </row>
    <row r="77" spans="8:29" x14ac:dyDescent="0.2">
      <c r="H77" s="1073" t="s">
        <v>813</v>
      </c>
      <c r="I77" s="1073">
        <v>239.03999999999996</v>
      </c>
      <c r="J77" s="1101">
        <v>1</v>
      </c>
    </row>
    <row r="78" spans="8:29" x14ac:dyDescent="0.2">
      <c r="H78" s="1073" t="s">
        <v>815</v>
      </c>
      <c r="I78" s="1073">
        <v>359.03999999999996</v>
      </c>
      <c r="J78" s="1101">
        <v>1</v>
      </c>
    </row>
    <row r="79" spans="8:29" x14ac:dyDescent="0.2">
      <c r="H79" s="1060" t="s">
        <v>816</v>
      </c>
      <c r="I79" s="1073">
        <v>440.64</v>
      </c>
      <c r="J79" s="1101">
        <v>1</v>
      </c>
    </row>
    <row r="93" spans="8:8" x14ac:dyDescent="0.2">
      <c r="H93" s="1099"/>
    </row>
  </sheetData>
  <mergeCells count="3">
    <mergeCell ref="D1:E1"/>
    <mergeCell ref="K1:L1"/>
    <mergeCell ref="N1:O1"/>
  </mergeCells>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V22:W22 JR22:JS22 TN22:TO22 ADJ22:ADK22 ANF22:ANG22 AXB22:AXC22 BGX22:BGY22 BQT22:BQU22 CAP22:CAQ22 CKL22:CKM22 CUH22:CUI22 DED22:DEE22 DNZ22:DOA22 DXV22:DXW22 EHR22:EHS22 ERN22:ERO22 FBJ22:FBK22 FLF22:FLG22 FVB22:FVC22 GEX22:GEY22 GOT22:GOU22 GYP22:GYQ22 HIL22:HIM22 HSH22:HSI22 ICD22:ICE22 ILZ22:IMA22 IVV22:IVW22 JFR22:JFS22 JPN22:JPO22 JZJ22:JZK22 KJF22:KJG22 KTB22:KTC22 LCX22:LCY22 LMT22:LMU22 LWP22:LWQ22 MGL22:MGM22 MQH22:MQI22 NAD22:NAE22 NJZ22:NKA22 NTV22:NTW22 ODR22:ODS22 ONN22:ONO22 OXJ22:OXK22 PHF22:PHG22 PRB22:PRC22 QAX22:QAY22 QKT22:QKU22 QUP22:QUQ22 REL22:REM22 ROH22:ROI22 RYD22:RYE22 SHZ22:SIA22 SRV22:SRW22 TBR22:TBS22 TLN22:TLO22 TVJ22:TVK22 UFF22:UFG22 UPB22:UPC22 UYX22:UYY22 VIT22:VIU22 VSP22:VSQ22 WCL22:WCM22 WMH22:WMI22 WWD22:WWE22 V65558:W65558 JR65558:JS65558 TN65558:TO65558 ADJ65558:ADK65558 ANF65558:ANG65558 AXB65558:AXC65558 BGX65558:BGY65558 BQT65558:BQU65558 CAP65558:CAQ65558 CKL65558:CKM65558 CUH65558:CUI65558 DED65558:DEE65558 DNZ65558:DOA65558 DXV65558:DXW65558 EHR65558:EHS65558 ERN65558:ERO65558 FBJ65558:FBK65558 FLF65558:FLG65558 FVB65558:FVC65558 GEX65558:GEY65558 GOT65558:GOU65558 GYP65558:GYQ65558 HIL65558:HIM65558 HSH65558:HSI65558 ICD65558:ICE65558 ILZ65558:IMA65558 IVV65558:IVW65558 JFR65558:JFS65558 JPN65558:JPO65558 JZJ65558:JZK65558 KJF65558:KJG65558 KTB65558:KTC65558 LCX65558:LCY65558 LMT65558:LMU65558 LWP65558:LWQ65558 MGL65558:MGM65558 MQH65558:MQI65558 NAD65558:NAE65558 NJZ65558:NKA65558 NTV65558:NTW65558 ODR65558:ODS65558 ONN65558:ONO65558 OXJ65558:OXK65558 PHF65558:PHG65558 PRB65558:PRC65558 QAX65558:QAY65558 QKT65558:QKU65558 QUP65558:QUQ65558 REL65558:REM65558 ROH65558:ROI65558 RYD65558:RYE65558 SHZ65558:SIA65558 SRV65558:SRW65558 TBR65558:TBS65558 TLN65558:TLO65558 TVJ65558:TVK65558 UFF65558:UFG65558 UPB65558:UPC65558 UYX65558:UYY65558 VIT65558:VIU65558 VSP65558:VSQ65558 WCL65558:WCM65558 WMH65558:WMI65558 WWD65558:WWE65558 V131094:W131094 JR131094:JS131094 TN131094:TO131094 ADJ131094:ADK131094 ANF131094:ANG131094 AXB131094:AXC131094 BGX131094:BGY131094 BQT131094:BQU131094 CAP131094:CAQ131094 CKL131094:CKM131094 CUH131094:CUI131094 DED131094:DEE131094 DNZ131094:DOA131094 DXV131094:DXW131094 EHR131094:EHS131094 ERN131094:ERO131094 FBJ131094:FBK131094 FLF131094:FLG131094 FVB131094:FVC131094 GEX131094:GEY131094 GOT131094:GOU131094 GYP131094:GYQ131094 HIL131094:HIM131094 HSH131094:HSI131094 ICD131094:ICE131094 ILZ131094:IMA131094 IVV131094:IVW131094 JFR131094:JFS131094 JPN131094:JPO131094 JZJ131094:JZK131094 KJF131094:KJG131094 KTB131094:KTC131094 LCX131094:LCY131094 LMT131094:LMU131094 LWP131094:LWQ131094 MGL131094:MGM131094 MQH131094:MQI131094 NAD131094:NAE131094 NJZ131094:NKA131094 NTV131094:NTW131094 ODR131094:ODS131094 ONN131094:ONO131094 OXJ131094:OXK131094 PHF131094:PHG131094 PRB131094:PRC131094 QAX131094:QAY131094 QKT131094:QKU131094 QUP131094:QUQ131094 REL131094:REM131094 ROH131094:ROI131094 RYD131094:RYE131094 SHZ131094:SIA131094 SRV131094:SRW131094 TBR131094:TBS131094 TLN131094:TLO131094 TVJ131094:TVK131094 UFF131094:UFG131094 UPB131094:UPC131094 UYX131094:UYY131094 VIT131094:VIU131094 VSP131094:VSQ131094 WCL131094:WCM131094 WMH131094:WMI131094 WWD131094:WWE131094 V196630:W196630 JR196630:JS196630 TN196630:TO196630 ADJ196630:ADK196630 ANF196630:ANG196630 AXB196630:AXC196630 BGX196630:BGY196630 BQT196630:BQU196630 CAP196630:CAQ196630 CKL196630:CKM196630 CUH196630:CUI196630 DED196630:DEE196630 DNZ196630:DOA196630 DXV196630:DXW196630 EHR196630:EHS196630 ERN196630:ERO196630 FBJ196630:FBK196630 FLF196630:FLG196630 FVB196630:FVC196630 GEX196630:GEY196630 GOT196630:GOU196630 GYP196630:GYQ196630 HIL196630:HIM196630 HSH196630:HSI196630 ICD196630:ICE196630 ILZ196630:IMA196630 IVV196630:IVW196630 JFR196630:JFS196630 JPN196630:JPO196630 JZJ196630:JZK196630 KJF196630:KJG196630 KTB196630:KTC196630 LCX196630:LCY196630 LMT196630:LMU196630 LWP196630:LWQ196630 MGL196630:MGM196630 MQH196630:MQI196630 NAD196630:NAE196630 NJZ196630:NKA196630 NTV196630:NTW196630 ODR196630:ODS196630 ONN196630:ONO196630 OXJ196630:OXK196630 PHF196630:PHG196630 PRB196630:PRC196630 QAX196630:QAY196630 QKT196630:QKU196630 QUP196630:QUQ196630 REL196630:REM196630 ROH196630:ROI196630 RYD196630:RYE196630 SHZ196630:SIA196630 SRV196630:SRW196630 TBR196630:TBS196630 TLN196630:TLO196630 TVJ196630:TVK196630 UFF196630:UFG196630 UPB196630:UPC196630 UYX196630:UYY196630 VIT196630:VIU196630 VSP196630:VSQ196630 WCL196630:WCM196630 WMH196630:WMI196630 WWD196630:WWE196630 V262166:W262166 JR262166:JS262166 TN262166:TO262166 ADJ262166:ADK262166 ANF262166:ANG262166 AXB262166:AXC262166 BGX262166:BGY262166 BQT262166:BQU262166 CAP262166:CAQ262166 CKL262166:CKM262166 CUH262166:CUI262166 DED262166:DEE262166 DNZ262166:DOA262166 DXV262166:DXW262166 EHR262166:EHS262166 ERN262166:ERO262166 FBJ262166:FBK262166 FLF262166:FLG262166 FVB262166:FVC262166 GEX262166:GEY262166 GOT262166:GOU262166 GYP262166:GYQ262166 HIL262166:HIM262166 HSH262166:HSI262166 ICD262166:ICE262166 ILZ262166:IMA262166 IVV262166:IVW262166 JFR262166:JFS262166 JPN262166:JPO262166 JZJ262166:JZK262166 KJF262166:KJG262166 KTB262166:KTC262166 LCX262166:LCY262166 LMT262166:LMU262166 LWP262166:LWQ262166 MGL262166:MGM262166 MQH262166:MQI262166 NAD262166:NAE262166 NJZ262166:NKA262166 NTV262166:NTW262166 ODR262166:ODS262166 ONN262166:ONO262166 OXJ262166:OXK262166 PHF262166:PHG262166 PRB262166:PRC262166 QAX262166:QAY262166 QKT262166:QKU262166 QUP262166:QUQ262166 REL262166:REM262166 ROH262166:ROI262166 RYD262166:RYE262166 SHZ262166:SIA262166 SRV262166:SRW262166 TBR262166:TBS262166 TLN262166:TLO262166 TVJ262166:TVK262166 UFF262166:UFG262166 UPB262166:UPC262166 UYX262166:UYY262166 VIT262166:VIU262166 VSP262166:VSQ262166 WCL262166:WCM262166 WMH262166:WMI262166 WWD262166:WWE262166 V327702:W327702 JR327702:JS327702 TN327702:TO327702 ADJ327702:ADK327702 ANF327702:ANG327702 AXB327702:AXC327702 BGX327702:BGY327702 BQT327702:BQU327702 CAP327702:CAQ327702 CKL327702:CKM327702 CUH327702:CUI327702 DED327702:DEE327702 DNZ327702:DOA327702 DXV327702:DXW327702 EHR327702:EHS327702 ERN327702:ERO327702 FBJ327702:FBK327702 FLF327702:FLG327702 FVB327702:FVC327702 GEX327702:GEY327702 GOT327702:GOU327702 GYP327702:GYQ327702 HIL327702:HIM327702 HSH327702:HSI327702 ICD327702:ICE327702 ILZ327702:IMA327702 IVV327702:IVW327702 JFR327702:JFS327702 JPN327702:JPO327702 JZJ327702:JZK327702 KJF327702:KJG327702 KTB327702:KTC327702 LCX327702:LCY327702 LMT327702:LMU327702 LWP327702:LWQ327702 MGL327702:MGM327702 MQH327702:MQI327702 NAD327702:NAE327702 NJZ327702:NKA327702 NTV327702:NTW327702 ODR327702:ODS327702 ONN327702:ONO327702 OXJ327702:OXK327702 PHF327702:PHG327702 PRB327702:PRC327702 QAX327702:QAY327702 QKT327702:QKU327702 QUP327702:QUQ327702 REL327702:REM327702 ROH327702:ROI327702 RYD327702:RYE327702 SHZ327702:SIA327702 SRV327702:SRW327702 TBR327702:TBS327702 TLN327702:TLO327702 TVJ327702:TVK327702 UFF327702:UFG327702 UPB327702:UPC327702 UYX327702:UYY327702 VIT327702:VIU327702 VSP327702:VSQ327702 WCL327702:WCM327702 WMH327702:WMI327702 WWD327702:WWE327702 V393238:W393238 JR393238:JS393238 TN393238:TO393238 ADJ393238:ADK393238 ANF393238:ANG393238 AXB393238:AXC393238 BGX393238:BGY393238 BQT393238:BQU393238 CAP393238:CAQ393238 CKL393238:CKM393238 CUH393238:CUI393238 DED393238:DEE393238 DNZ393238:DOA393238 DXV393238:DXW393238 EHR393238:EHS393238 ERN393238:ERO393238 FBJ393238:FBK393238 FLF393238:FLG393238 FVB393238:FVC393238 GEX393238:GEY393238 GOT393238:GOU393238 GYP393238:GYQ393238 HIL393238:HIM393238 HSH393238:HSI393238 ICD393238:ICE393238 ILZ393238:IMA393238 IVV393238:IVW393238 JFR393238:JFS393238 JPN393238:JPO393238 JZJ393238:JZK393238 KJF393238:KJG393238 KTB393238:KTC393238 LCX393238:LCY393238 LMT393238:LMU393238 LWP393238:LWQ393238 MGL393238:MGM393238 MQH393238:MQI393238 NAD393238:NAE393238 NJZ393238:NKA393238 NTV393238:NTW393238 ODR393238:ODS393238 ONN393238:ONO393238 OXJ393238:OXK393238 PHF393238:PHG393238 PRB393238:PRC393238 QAX393238:QAY393238 QKT393238:QKU393238 QUP393238:QUQ393238 REL393238:REM393238 ROH393238:ROI393238 RYD393238:RYE393238 SHZ393238:SIA393238 SRV393238:SRW393238 TBR393238:TBS393238 TLN393238:TLO393238 TVJ393238:TVK393238 UFF393238:UFG393238 UPB393238:UPC393238 UYX393238:UYY393238 VIT393238:VIU393238 VSP393238:VSQ393238 WCL393238:WCM393238 WMH393238:WMI393238 WWD393238:WWE393238 V458774:W458774 JR458774:JS458774 TN458774:TO458774 ADJ458774:ADK458774 ANF458774:ANG458774 AXB458774:AXC458774 BGX458774:BGY458774 BQT458774:BQU458774 CAP458774:CAQ458774 CKL458774:CKM458774 CUH458774:CUI458774 DED458774:DEE458774 DNZ458774:DOA458774 DXV458774:DXW458774 EHR458774:EHS458774 ERN458774:ERO458774 FBJ458774:FBK458774 FLF458774:FLG458774 FVB458774:FVC458774 GEX458774:GEY458774 GOT458774:GOU458774 GYP458774:GYQ458774 HIL458774:HIM458774 HSH458774:HSI458774 ICD458774:ICE458774 ILZ458774:IMA458774 IVV458774:IVW458774 JFR458774:JFS458774 JPN458774:JPO458774 JZJ458774:JZK458774 KJF458774:KJG458774 KTB458774:KTC458774 LCX458774:LCY458774 LMT458774:LMU458774 LWP458774:LWQ458774 MGL458774:MGM458774 MQH458774:MQI458774 NAD458774:NAE458774 NJZ458774:NKA458774 NTV458774:NTW458774 ODR458774:ODS458774 ONN458774:ONO458774 OXJ458774:OXK458774 PHF458774:PHG458774 PRB458774:PRC458774 QAX458774:QAY458774 QKT458774:QKU458774 QUP458774:QUQ458774 REL458774:REM458774 ROH458774:ROI458774 RYD458774:RYE458774 SHZ458774:SIA458774 SRV458774:SRW458774 TBR458774:TBS458774 TLN458774:TLO458774 TVJ458774:TVK458774 UFF458774:UFG458774 UPB458774:UPC458774 UYX458774:UYY458774 VIT458774:VIU458774 VSP458774:VSQ458774 WCL458774:WCM458774 WMH458774:WMI458774 WWD458774:WWE458774 V524310:W524310 JR524310:JS524310 TN524310:TO524310 ADJ524310:ADK524310 ANF524310:ANG524310 AXB524310:AXC524310 BGX524310:BGY524310 BQT524310:BQU524310 CAP524310:CAQ524310 CKL524310:CKM524310 CUH524310:CUI524310 DED524310:DEE524310 DNZ524310:DOA524310 DXV524310:DXW524310 EHR524310:EHS524310 ERN524310:ERO524310 FBJ524310:FBK524310 FLF524310:FLG524310 FVB524310:FVC524310 GEX524310:GEY524310 GOT524310:GOU524310 GYP524310:GYQ524310 HIL524310:HIM524310 HSH524310:HSI524310 ICD524310:ICE524310 ILZ524310:IMA524310 IVV524310:IVW524310 JFR524310:JFS524310 JPN524310:JPO524310 JZJ524310:JZK524310 KJF524310:KJG524310 KTB524310:KTC524310 LCX524310:LCY524310 LMT524310:LMU524310 LWP524310:LWQ524310 MGL524310:MGM524310 MQH524310:MQI524310 NAD524310:NAE524310 NJZ524310:NKA524310 NTV524310:NTW524310 ODR524310:ODS524310 ONN524310:ONO524310 OXJ524310:OXK524310 PHF524310:PHG524310 PRB524310:PRC524310 QAX524310:QAY524310 QKT524310:QKU524310 QUP524310:QUQ524310 REL524310:REM524310 ROH524310:ROI524310 RYD524310:RYE524310 SHZ524310:SIA524310 SRV524310:SRW524310 TBR524310:TBS524310 TLN524310:TLO524310 TVJ524310:TVK524310 UFF524310:UFG524310 UPB524310:UPC524310 UYX524310:UYY524310 VIT524310:VIU524310 VSP524310:VSQ524310 WCL524310:WCM524310 WMH524310:WMI524310 WWD524310:WWE524310 V589846:W589846 JR589846:JS589846 TN589846:TO589846 ADJ589846:ADK589846 ANF589846:ANG589846 AXB589846:AXC589846 BGX589846:BGY589846 BQT589846:BQU589846 CAP589846:CAQ589846 CKL589846:CKM589846 CUH589846:CUI589846 DED589846:DEE589846 DNZ589846:DOA589846 DXV589846:DXW589846 EHR589846:EHS589846 ERN589846:ERO589846 FBJ589846:FBK589846 FLF589846:FLG589846 FVB589846:FVC589846 GEX589846:GEY589846 GOT589846:GOU589846 GYP589846:GYQ589846 HIL589846:HIM589846 HSH589846:HSI589846 ICD589846:ICE589846 ILZ589846:IMA589846 IVV589846:IVW589846 JFR589846:JFS589846 JPN589846:JPO589846 JZJ589846:JZK589846 KJF589846:KJG589846 KTB589846:KTC589846 LCX589846:LCY589846 LMT589846:LMU589846 LWP589846:LWQ589846 MGL589846:MGM589846 MQH589846:MQI589846 NAD589846:NAE589846 NJZ589846:NKA589846 NTV589846:NTW589846 ODR589846:ODS589846 ONN589846:ONO589846 OXJ589846:OXK589846 PHF589846:PHG589846 PRB589846:PRC589846 QAX589846:QAY589846 QKT589846:QKU589846 QUP589846:QUQ589846 REL589846:REM589846 ROH589846:ROI589846 RYD589846:RYE589846 SHZ589846:SIA589846 SRV589846:SRW589846 TBR589846:TBS589846 TLN589846:TLO589846 TVJ589846:TVK589846 UFF589846:UFG589846 UPB589846:UPC589846 UYX589846:UYY589846 VIT589846:VIU589846 VSP589846:VSQ589846 WCL589846:WCM589846 WMH589846:WMI589846 WWD589846:WWE589846 V655382:W655382 JR655382:JS655382 TN655382:TO655382 ADJ655382:ADK655382 ANF655382:ANG655382 AXB655382:AXC655382 BGX655382:BGY655382 BQT655382:BQU655382 CAP655382:CAQ655382 CKL655382:CKM655382 CUH655382:CUI655382 DED655382:DEE655382 DNZ655382:DOA655382 DXV655382:DXW655382 EHR655382:EHS655382 ERN655382:ERO655382 FBJ655382:FBK655382 FLF655382:FLG655382 FVB655382:FVC655382 GEX655382:GEY655382 GOT655382:GOU655382 GYP655382:GYQ655382 HIL655382:HIM655382 HSH655382:HSI655382 ICD655382:ICE655382 ILZ655382:IMA655382 IVV655382:IVW655382 JFR655382:JFS655382 JPN655382:JPO655382 JZJ655382:JZK655382 KJF655382:KJG655382 KTB655382:KTC655382 LCX655382:LCY655382 LMT655382:LMU655382 LWP655382:LWQ655382 MGL655382:MGM655382 MQH655382:MQI655382 NAD655382:NAE655382 NJZ655382:NKA655382 NTV655382:NTW655382 ODR655382:ODS655382 ONN655382:ONO655382 OXJ655382:OXK655382 PHF655382:PHG655382 PRB655382:PRC655382 QAX655382:QAY655382 QKT655382:QKU655382 QUP655382:QUQ655382 REL655382:REM655382 ROH655382:ROI655382 RYD655382:RYE655382 SHZ655382:SIA655382 SRV655382:SRW655382 TBR655382:TBS655382 TLN655382:TLO655382 TVJ655382:TVK655382 UFF655382:UFG655382 UPB655382:UPC655382 UYX655382:UYY655382 VIT655382:VIU655382 VSP655382:VSQ655382 WCL655382:WCM655382 WMH655382:WMI655382 WWD655382:WWE655382 V720918:W720918 JR720918:JS720918 TN720918:TO720918 ADJ720918:ADK720918 ANF720918:ANG720918 AXB720918:AXC720918 BGX720918:BGY720918 BQT720918:BQU720918 CAP720918:CAQ720918 CKL720918:CKM720918 CUH720918:CUI720918 DED720918:DEE720918 DNZ720918:DOA720918 DXV720918:DXW720918 EHR720918:EHS720918 ERN720918:ERO720918 FBJ720918:FBK720918 FLF720918:FLG720918 FVB720918:FVC720918 GEX720918:GEY720918 GOT720918:GOU720918 GYP720918:GYQ720918 HIL720918:HIM720918 HSH720918:HSI720918 ICD720918:ICE720918 ILZ720918:IMA720918 IVV720918:IVW720918 JFR720918:JFS720918 JPN720918:JPO720918 JZJ720918:JZK720918 KJF720918:KJG720918 KTB720918:KTC720918 LCX720918:LCY720918 LMT720918:LMU720918 LWP720918:LWQ720918 MGL720918:MGM720918 MQH720918:MQI720918 NAD720918:NAE720918 NJZ720918:NKA720918 NTV720918:NTW720918 ODR720918:ODS720918 ONN720918:ONO720918 OXJ720918:OXK720918 PHF720918:PHG720918 PRB720918:PRC720918 QAX720918:QAY720918 QKT720918:QKU720918 QUP720918:QUQ720918 REL720918:REM720918 ROH720918:ROI720918 RYD720918:RYE720918 SHZ720918:SIA720918 SRV720918:SRW720918 TBR720918:TBS720918 TLN720918:TLO720918 TVJ720918:TVK720918 UFF720918:UFG720918 UPB720918:UPC720918 UYX720918:UYY720918 VIT720918:VIU720918 VSP720918:VSQ720918 WCL720918:WCM720918 WMH720918:WMI720918 WWD720918:WWE720918 V786454:W786454 JR786454:JS786454 TN786454:TO786454 ADJ786454:ADK786454 ANF786454:ANG786454 AXB786454:AXC786454 BGX786454:BGY786454 BQT786454:BQU786454 CAP786454:CAQ786454 CKL786454:CKM786454 CUH786454:CUI786454 DED786454:DEE786454 DNZ786454:DOA786454 DXV786454:DXW786454 EHR786454:EHS786454 ERN786454:ERO786454 FBJ786454:FBK786454 FLF786454:FLG786454 FVB786454:FVC786454 GEX786454:GEY786454 GOT786454:GOU786454 GYP786454:GYQ786454 HIL786454:HIM786454 HSH786454:HSI786454 ICD786454:ICE786454 ILZ786454:IMA786454 IVV786454:IVW786454 JFR786454:JFS786454 JPN786454:JPO786454 JZJ786454:JZK786454 KJF786454:KJG786454 KTB786454:KTC786454 LCX786454:LCY786454 LMT786454:LMU786454 LWP786454:LWQ786454 MGL786454:MGM786454 MQH786454:MQI786454 NAD786454:NAE786454 NJZ786454:NKA786454 NTV786454:NTW786454 ODR786454:ODS786454 ONN786454:ONO786454 OXJ786454:OXK786454 PHF786454:PHG786454 PRB786454:PRC786454 QAX786454:QAY786454 QKT786454:QKU786454 QUP786454:QUQ786454 REL786454:REM786454 ROH786454:ROI786454 RYD786454:RYE786454 SHZ786454:SIA786454 SRV786454:SRW786454 TBR786454:TBS786454 TLN786454:TLO786454 TVJ786454:TVK786454 UFF786454:UFG786454 UPB786454:UPC786454 UYX786454:UYY786454 VIT786454:VIU786454 VSP786454:VSQ786454 WCL786454:WCM786454 WMH786454:WMI786454 WWD786454:WWE786454 V851990:W851990 JR851990:JS851990 TN851990:TO851990 ADJ851990:ADK851990 ANF851990:ANG851990 AXB851990:AXC851990 BGX851990:BGY851990 BQT851990:BQU851990 CAP851990:CAQ851990 CKL851990:CKM851990 CUH851990:CUI851990 DED851990:DEE851990 DNZ851990:DOA851990 DXV851990:DXW851990 EHR851990:EHS851990 ERN851990:ERO851990 FBJ851990:FBK851990 FLF851990:FLG851990 FVB851990:FVC851990 GEX851990:GEY851990 GOT851990:GOU851990 GYP851990:GYQ851990 HIL851990:HIM851990 HSH851990:HSI851990 ICD851990:ICE851990 ILZ851990:IMA851990 IVV851990:IVW851990 JFR851990:JFS851990 JPN851990:JPO851990 JZJ851990:JZK851990 KJF851990:KJG851990 KTB851990:KTC851990 LCX851990:LCY851990 LMT851990:LMU851990 LWP851990:LWQ851990 MGL851990:MGM851990 MQH851990:MQI851990 NAD851990:NAE851990 NJZ851990:NKA851990 NTV851990:NTW851990 ODR851990:ODS851990 ONN851990:ONO851990 OXJ851990:OXK851990 PHF851990:PHG851990 PRB851990:PRC851990 QAX851990:QAY851990 QKT851990:QKU851990 QUP851990:QUQ851990 REL851990:REM851990 ROH851990:ROI851990 RYD851990:RYE851990 SHZ851990:SIA851990 SRV851990:SRW851990 TBR851990:TBS851990 TLN851990:TLO851990 TVJ851990:TVK851990 UFF851990:UFG851990 UPB851990:UPC851990 UYX851990:UYY851990 VIT851990:VIU851990 VSP851990:VSQ851990 WCL851990:WCM851990 WMH851990:WMI851990 WWD851990:WWE851990 V917526:W917526 JR917526:JS917526 TN917526:TO917526 ADJ917526:ADK917526 ANF917526:ANG917526 AXB917526:AXC917526 BGX917526:BGY917526 BQT917526:BQU917526 CAP917526:CAQ917526 CKL917526:CKM917526 CUH917526:CUI917526 DED917526:DEE917526 DNZ917526:DOA917526 DXV917526:DXW917526 EHR917526:EHS917526 ERN917526:ERO917526 FBJ917526:FBK917526 FLF917526:FLG917526 FVB917526:FVC917526 GEX917526:GEY917526 GOT917526:GOU917526 GYP917526:GYQ917526 HIL917526:HIM917526 HSH917526:HSI917526 ICD917526:ICE917526 ILZ917526:IMA917526 IVV917526:IVW917526 JFR917526:JFS917526 JPN917526:JPO917526 JZJ917526:JZK917526 KJF917526:KJG917526 KTB917526:KTC917526 LCX917526:LCY917526 LMT917526:LMU917526 LWP917526:LWQ917526 MGL917526:MGM917526 MQH917526:MQI917526 NAD917526:NAE917526 NJZ917526:NKA917526 NTV917526:NTW917526 ODR917526:ODS917526 ONN917526:ONO917526 OXJ917526:OXK917526 PHF917526:PHG917526 PRB917526:PRC917526 QAX917526:QAY917526 QKT917526:QKU917526 QUP917526:QUQ917526 REL917526:REM917526 ROH917526:ROI917526 RYD917526:RYE917526 SHZ917526:SIA917526 SRV917526:SRW917526 TBR917526:TBS917526 TLN917526:TLO917526 TVJ917526:TVK917526 UFF917526:UFG917526 UPB917526:UPC917526 UYX917526:UYY917526 VIT917526:VIU917526 VSP917526:VSQ917526 WCL917526:WCM917526 WMH917526:WMI917526 WWD917526:WWE917526 V983062:W983062 JR983062:JS983062 TN983062:TO983062 ADJ983062:ADK983062 ANF983062:ANG983062 AXB983062:AXC983062 BGX983062:BGY983062 BQT983062:BQU983062 CAP983062:CAQ983062 CKL983062:CKM983062 CUH983062:CUI983062 DED983062:DEE983062 DNZ983062:DOA983062 DXV983062:DXW983062 EHR983062:EHS983062 ERN983062:ERO983062 FBJ983062:FBK983062 FLF983062:FLG983062 FVB983062:FVC983062 GEX983062:GEY983062 GOT983062:GOU983062 GYP983062:GYQ983062 HIL983062:HIM983062 HSH983062:HSI983062 ICD983062:ICE983062 ILZ983062:IMA983062 IVV983062:IVW983062 JFR983062:JFS983062 JPN983062:JPO983062 JZJ983062:JZK983062 KJF983062:KJG983062 KTB983062:KTC983062 LCX983062:LCY983062 LMT983062:LMU983062 LWP983062:LWQ983062 MGL983062:MGM983062 MQH983062:MQI983062 NAD983062:NAE983062 NJZ983062:NKA983062 NTV983062:NTW983062 ODR983062:ODS983062 ONN983062:ONO983062 OXJ983062:OXK983062 PHF983062:PHG983062 PRB983062:PRC983062 QAX983062:QAY983062 QKT983062:QKU983062 QUP983062:QUQ983062 REL983062:REM983062 ROH983062:ROI983062 RYD983062:RYE983062 SHZ983062:SIA983062 SRV983062:SRW983062 TBR983062:TBS983062 TLN983062:TLO983062 TVJ983062:TVK983062 UFF983062:UFG983062 UPB983062:UPC983062 UYX983062:UYY983062 VIT983062:VIU983062 VSP983062:VSQ983062 WCL983062:WCM983062 WMH983062:WMI983062 WWD983062:WWE983062 AE6:AF6 KA6:KB6 TW6:TX6 ADS6:ADT6 ANO6:ANP6 AXK6:AXL6 BHG6:BHH6 BRC6:BRD6 CAY6:CAZ6 CKU6:CKV6 CUQ6:CUR6 DEM6:DEN6 DOI6:DOJ6 DYE6:DYF6 EIA6:EIB6 ERW6:ERX6 FBS6:FBT6 FLO6:FLP6 FVK6:FVL6 GFG6:GFH6 GPC6:GPD6 GYY6:GYZ6 HIU6:HIV6 HSQ6:HSR6 ICM6:ICN6 IMI6:IMJ6 IWE6:IWF6 JGA6:JGB6 JPW6:JPX6 JZS6:JZT6 KJO6:KJP6 KTK6:KTL6 LDG6:LDH6 LNC6:LND6 LWY6:LWZ6 MGU6:MGV6 MQQ6:MQR6 NAM6:NAN6 NKI6:NKJ6 NUE6:NUF6 OEA6:OEB6 ONW6:ONX6 OXS6:OXT6 PHO6:PHP6 PRK6:PRL6 QBG6:QBH6 QLC6:QLD6 QUY6:QUZ6 REU6:REV6 ROQ6:ROR6 RYM6:RYN6 SII6:SIJ6 SSE6:SSF6 TCA6:TCB6 TLW6:TLX6 TVS6:TVT6 UFO6:UFP6 UPK6:UPL6 UZG6:UZH6 VJC6:VJD6 VSY6:VSZ6 WCU6:WCV6 WMQ6:WMR6 WWM6:WWN6 AE65542:AF65542 KA65542:KB65542 TW65542:TX65542 ADS65542:ADT65542 ANO65542:ANP65542 AXK65542:AXL65542 BHG65542:BHH65542 BRC65542:BRD65542 CAY65542:CAZ65542 CKU65542:CKV65542 CUQ65542:CUR65542 DEM65542:DEN65542 DOI65542:DOJ65542 DYE65542:DYF65542 EIA65542:EIB65542 ERW65542:ERX65542 FBS65542:FBT65542 FLO65542:FLP65542 FVK65542:FVL65542 GFG65542:GFH65542 GPC65542:GPD65542 GYY65542:GYZ65542 HIU65542:HIV65542 HSQ65542:HSR65542 ICM65542:ICN65542 IMI65542:IMJ65542 IWE65542:IWF65542 JGA65542:JGB65542 JPW65542:JPX65542 JZS65542:JZT65542 KJO65542:KJP65542 KTK65542:KTL65542 LDG65542:LDH65542 LNC65542:LND65542 LWY65542:LWZ65542 MGU65542:MGV65542 MQQ65542:MQR65542 NAM65542:NAN65542 NKI65542:NKJ65542 NUE65542:NUF65542 OEA65542:OEB65542 ONW65542:ONX65542 OXS65542:OXT65542 PHO65542:PHP65542 PRK65542:PRL65542 QBG65542:QBH65542 QLC65542:QLD65542 QUY65542:QUZ65542 REU65542:REV65542 ROQ65542:ROR65542 RYM65542:RYN65542 SII65542:SIJ65542 SSE65542:SSF65542 TCA65542:TCB65542 TLW65542:TLX65542 TVS65542:TVT65542 UFO65542:UFP65542 UPK65542:UPL65542 UZG65542:UZH65542 VJC65542:VJD65542 VSY65542:VSZ65542 WCU65542:WCV65542 WMQ65542:WMR65542 WWM65542:WWN65542 AE131078:AF131078 KA131078:KB131078 TW131078:TX131078 ADS131078:ADT131078 ANO131078:ANP131078 AXK131078:AXL131078 BHG131078:BHH131078 BRC131078:BRD131078 CAY131078:CAZ131078 CKU131078:CKV131078 CUQ131078:CUR131078 DEM131078:DEN131078 DOI131078:DOJ131078 DYE131078:DYF131078 EIA131078:EIB131078 ERW131078:ERX131078 FBS131078:FBT131078 FLO131078:FLP131078 FVK131078:FVL131078 GFG131078:GFH131078 GPC131078:GPD131078 GYY131078:GYZ131078 HIU131078:HIV131078 HSQ131078:HSR131078 ICM131078:ICN131078 IMI131078:IMJ131078 IWE131078:IWF131078 JGA131078:JGB131078 JPW131078:JPX131078 JZS131078:JZT131078 KJO131078:KJP131078 KTK131078:KTL131078 LDG131078:LDH131078 LNC131078:LND131078 LWY131078:LWZ131078 MGU131078:MGV131078 MQQ131078:MQR131078 NAM131078:NAN131078 NKI131078:NKJ131078 NUE131078:NUF131078 OEA131078:OEB131078 ONW131078:ONX131078 OXS131078:OXT131078 PHO131078:PHP131078 PRK131078:PRL131078 QBG131078:QBH131078 QLC131078:QLD131078 QUY131078:QUZ131078 REU131078:REV131078 ROQ131078:ROR131078 RYM131078:RYN131078 SII131078:SIJ131078 SSE131078:SSF131078 TCA131078:TCB131078 TLW131078:TLX131078 TVS131078:TVT131078 UFO131078:UFP131078 UPK131078:UPL131078 UZG131078:UZH131078 VJC131078:VJD131078 VSY131078:VSZ131078 WCU131078:WCV131078 WMQ131078:WMR131078 WWM131078:WWN131078 AE196614:AF196614 KA196614:KB196614 TW196614:TX196614 ADS196614:ADT196614 ANO196614:ANP196614 AXK196614:AXL196614 BHG196614:BHH196614 BRC196614:BRD196614 CAY196614:CAZ196614 CKU196614:CKV196614 CUQ196614:CUR196614 DEM196614:DEN196614 DOI196614:DOJ196614 DYE196614:DYF196614 EIA196614:EIB196614 ERW196614:ERX196614 FBS196614:FBT196614 FLO196614:FLP196614 FVK196614:FVL196614 GFG196614:GFH196614 GPC196614:GPD196614 GYY196614:GYZ196614 HIU196614:HIV196614 HSQ196614:HSR196614 ICM196614:ICN196614 IMI196614:IMJ196614 IWE196614:IWF196614 JGA196614:JGB196614 JPW196614:JPX196614 JZS196614:JZT196614 KJO196614:KJP196614 KTK196614:KTL196614 LDG196614:LDH196614 LNC196614:LND196614 LWY196614:LWZ196614 MGU196614:MGV196614 MQQ196614:MQR196614 NAM196614:NAN196614 NKI196614:NKJ196614 NUE196614:NUF196614 OEA196614:OEB196614 ONW196614:ONX196614 OXS196614:OXT196614 PHO196614:PHP196614 PRK196614:PRL196614 QBG196614:QBH196614 QLC196614:QLD196614 QUY196614:QUZ196614 REU196614:REV196614 ROQ196614:ROR196614 RYM196614:RYN196614 SII196614:SIJ196614 SSE196614:SSF196614 TCA196614:TCB196614 TLW196614:TLX196614 TVS196614:TVT196614 UFO196614:UFP196614 UPK196614:UPL196614 UZG196614:UZH196614 VJC196614:VJD196614 VSY196614:VSZ196614 WCU196614:WCV196614 WMQ196614:WMR196614 WWM196614:WWN196614 AE262150:AF262150 KA262150:KB262150 TW262150:TX262150 ADS262150:ADT262150 ANO262150:ANP262150 AXK262150:AXL262150 BHG262150:BHH262150 BRC262150:BRD262150 CAY262150:CAZ262150 CKU262150:CKV262150 CUQ262150:CUR262150 DEM262150:DEN262150 DOI262150:DOJ262150 DYE262150:DYF262150 EIA262150:EIB262150 ERW262150:ERX262150 FBS262150:FBT262150 FLO262150:FLP262150 FVK262150:FVL262150 GFG262150:GFH262150 GPC262150:GPD262150 GYY262150:GYZ262150 HIU262150:HIV262150 HSQ262150:HSR262150 ICM262150:ICN262150 IMI262150:IMJ262150 IWE262150:IWF262150 JGA262150:JGB262150 JPW262150:JPX262150 JZS262150:JZT262150 KJO262150:KJP262150 KTK262150:KTL262150 LDG262150:LDH262150 LNC262150:LND262150 LWY262150:LWZ262150 MGU262150:MGV262150 MQQ262150:MQR262150 NAM262150:NAN262150 NKI262150:NKJ262150 NUE262150:NUF262150 OEA262150:OEB262150 ONW262150:ONX262150 OXS262150:OXT262150 PHO262150:PHP262150 PRK262150:PRL262150 QBG262150:QBH262150 QLC262150:QLD262150 QUY262150:QUZ262150 REU262150:REV262150 ROQ262150:ROR262150 RYM262150:RYN262150 SII262150:SIJ262150 SSE262150:SSF262150 TCA262150:TCB262150 TLW262150:TLX262150 TVS262150:TVT262150 UFO262150:UFP262150 UPK262150:UPL262150 UZG262150:UZH262150 VJC262150:VJD262150 VSY262150:VSZ262150 WCU262150:WCV262150 WMQ262150:WMR262150 WWM262150:WWN262150 AE327686:AF327686 KA327686:KB327686 TW327686:TX327686 ADS327686:ADT327686 ANO327686:ANP327686 AXK327686:AXL327686 BHG327686:BHH327686 BRC327686:BRD327686 CAY327686:CAZ327686 CKU327686:CKV327686 CUQ327686:CUR327686 DEM327686:DEN327686 DOI327686:DOJ327686 DYE327686:DYF327686 EIA327686:EIB327686 ERW327686:ERX327686 FBS327686:FBT327686 FLO327686:FLP327686 FVK327686:FVL327686 GFG327686:GFH327686 GPC327686:GPD327686 GYY327686:GYZ327686 HIU327686:HIV327686 HSQ327686:HSR327686 ICM327686:ICN327686 IMI327686:IMJ327686 IWE327686:IWF327686 JGA327686:JGB327686 JPW327686:JPX327686 JZS327686:JZT327686 KJO327686:KJP327686 KTK327686:KTL327686 LDG327686:LDH327686 LNC327686:LND327686 LWY327686:LWZ327686 MGU327686:MGV327686 MQQ327686:MQR327686 NAM327686:NAN327686 NKI327686:NKJ327686 NUE327686:NUF327686 OEA327686:OEB327686 ONW327686:ONX327686 OXS327686:OXT327686 PHO327686:PHP327686 PRK327686:PRL327686 QBG327686:QBH327686 QLC327686:QLD327686 QUY327686:QUZ327686 REU327686:REV327686 ROQ327686:ROR327686 RYM327686:RYN327686 SII327686:SIJ327686 SSE327686:SSF327686 TCA327686:TCB327686 TLW327686:TLX327686 TVS327686:TVT327686 UFO327686:UFP327686 UPK327686:UPL327686 UZG327686:UZH327686 VJC327686:VJD327686 VSY327686:VSZ327686 WCU327686:WCV327686 WMQ327686:WMR327686 WWM327686:WWN327686 AE393222:AF393222 KA393222:KB393222 TW393222:TX393222 ADS393222:ADT393222 ANO393222:ANP393222 AXK393222:AXL393222 BHG393222:BHH393222 BRC393222:BRD393222 CAY393222:CAZ393222 CKU393222:CKV393222 CUQ393222:CUR393222 DEM393222:DEN393222 DOI393222:DOJ393222 DYE393222:DYF393222 EIA393222:EIB393222 ERW393222:ERX393222 FBS393222:FBT393222 FLO393222:FLP393222 FVK393222:FVL393222 GFG393222:GFH393222 GPC393222:GPD393222 GYY393222:GYZ393222 HIU393222:HIV393222 HSQ393222:HSR393222 ICM393222:ICN393222 IMI393222:IMJ393222 IWE393222:IWF393222 JGA393222:JGB393222 JPW393222:JPX393222 JZS393222:JZT393222 KJO393222:KJP393222 KTK393222:KTL393222 LDG393222:LDH393222 LNC393222:LND393222 LWY393222:LWZ393222 MGU393222:MGV393222 MQQ393222:MQR393222 NAM393222:NAN393222 NKI393222:NKJ393222 NUE393222:NUF393222 OEA393222:OEB393222 ONW393222:ONX393222 OXS393222:OXT393222 PHO393222:PHP393222 PRK393222:PRL393222 QBG393222:QBH393222 QLC393222:QLD393222 QUY393222:QUZ393222 REU393222:REV393222 ROQ393222:ROR393222 RYM393222:RYN393222 SII393222:SIJ393222 SSE393222:SSF393222 TCA393222:TCB393222 TLW393222:TLX393222 TVS393222:TVT393222 UFO393222:UFP393222 UPK393222:UPL393222 UZG393222:UZH393222 VJC393222:VJD393222 VSY393222:VSZ393222 WCU393222:WCV393222 WMQ393222:WMR393222 WWM393222:WWN393222 AE458758:AF458758 KA458758:KB458758 TW458758:TX458758 ADS458758:ADT458758 ANO458758:ANP458758 AXK458758:AXL458758 BHG458758:BHH458758 BRC458758:BRD458758 CAY458758:CAZ458758 CKU458758:CKV458758 CUQ458758:CUR458758 DEM458758:DEN458758 DOI458758:DOJ458758 DYE458758:DYF458758 EIA458758:EIB458758 ERW458758:ERX458758 FBS458758:FBT458758 FLO458758:FLP458758 FVK458758:FVL458758 GFG458758:GFH458758 GPC458758:GPD458758 GYY458758:GYZ458758 HIU458758:HIV458758 HSQ458758:HSR458758 ICM458758:ICN458758 IMI458758:IMJ458758 IWE458758:IWF458758 JGA458758:JGB458758 JPW458758:JPX458758 JZS458758:JZT458758 KJO458758:KJP458758 KTK458758:KTL458758 LDG458758:LDH458758 LNC458758:LND458758 LWY458758:LWZ458758 MGU458758:MGV458758 MQQ458758:MQR458758 NAM458758:NAN458758 NKI458758:NKJ458758 NUE458758:NUF458758 OEA458758:OEB458758 ONW458758:ONX458758 OXS458758:OXT458758 PHO458758:PHP458758 PRK458758:PRL458758 QBG458758:QBH458758 QLC458758:QLD458758 QUY458758:QUZ458758 REU458758:REV458758 ROQ458758:ROR458758 RYM458758:RYN458758 SII458758:SIJ458758 SSE458758:SSF458758 TCA458758:TCB458758 TLW458758:TLX458758 TVS458758:TVT458758 UFO458758:UFP458758 UPK458758:UPL458758 UZG458758:UZH458758 VJC458758:VJD458758 VSY458758:VSZ458758 WCU458758:WCV458758 WMQ458758:WMR458758 WWM458758:WWN458758 AE524294:AF524294 KA524294:KB524294 TW524294:TX524294 ADS524294:ADT524294 ANO524294:ANP524294 AXK524294:AXL524294 BHG524294:BHH524294 BRC524294:BRD524294 CAY524294:CAZ524294 CKU524294:CKV524294 CUQ524294:CUR524294 DEM524294:DEN524294 DOI524294:DOJ524294 DYE524294:DYF524294 EIA524294:EIB524294 ERW524294:ERX524294 FBS524294:FBT524294 FLO524294:FLP524294 FVK524294:FVL524294 GFG524294:GFH524294 GPC524294:GPD524294 GYY524294:GYZ524294 HIU524294:HIV524294 HSQ524294:HSR524294 ICM524294:ICN524294 IMI524294:IMJ524294 IWE524294:IWF524294 JGA524294:JGB524294 JPW524294:JPX524294 JZS524294:JZT524294 KJO524294:KJP524294 KTK524294:KTL524294 LDG524294:LDH524294 LNC524294:LND524294 LWY524294:LWZ524294 MGU524294:MGV524294 MQQ524294:MQR524294 NAM524294:NAN524294 NKI524294:NKJ524294 NUE524294:NUF524294 OEA524294:OEB524294 ONW524294:ONX524294 OXS524294:OXT524294 PHO524294:PHP524294 PRK524294:PRL524294 QBG524294:QBH524294 QLC524294:QLD524294 QUY524294:QUZ524294 REU524294:REV524294 ROQ524294:ROR524294 RYM524294:RYN524294 SII524294:SIJ524294 SSE524294:SSF524294 TCA524294:TCB524294 TLW524294:TLX524294 TVS524294:TVT524294 UFO524294:UFP524294 UPK524294:UPL524294 UZG524294:UZH524294 VJC524294:VJD524294 VSY524294:VSZ524294 WCU524294:WCV524294 WMQ524294:WMR524294 WWM524294:WWN524294 AE589830:AF589830 KA589830:KB589830 TW589830:TX589830 ADS589830:ADT589830 ANO589830:ANP589830 AXK589830:AXL589830 BHG589830:BHH589830 BRC589830:BRD589830 CAY589830:CAZ589830 CKU589830:CKV589830 CUQ589830:CUR589830 DEM589830:DEN589830 DOI589830:DOJ589830 DYE589830:DYF589830 EIA589830:EIB589830 ERW589830:ERX589830 FBS589830:FBT589830 FLO589830:FLP589830 FVK589830:FVL589830 GFG589830:GFH589830 GPC589830:GPD589830 GYY589830:GYZ589830 HIU589830:HIV589830 HSQ589830:HSR589830 ICM589830:ICN589830 IMI589830:IMJ589830 IWE589830:IWF589830 JGA589830:JGB589830 JPW589830:JPX589830 JZS589830:JZT589830 KJO589830:KJP589830 KTK589830:KTL589830 LDG589830:LDH589830 LNC589830:LND589830 LWY589830:LWZ589830 MGU589830:MGV589830 MQQ589830:MQR589830 NAM589830:NAN589830 NKI589830:NKJ589830 NUE589830:NUF589830 OEA589830:OEB589830 ONW589830:ONX589830 OXS589830:OXT589830 PHO589830:PHP589830 PRK589830:PRL589830 QBG589830:QBH589830 QLC589830:QLD589830 QUY589830:QUZ589830 REU589830:REV589830 ROQ589830:ROR589830 RYM589830:RYN589830 SII589830:SIJ589830 SSE589830:SSF589830 TCA589830:TCB589830 TLW589830:TLX589830 TVS589830:TVT589830 UFO589830:UFP589830 UPK589830:UPL589830 UZG589830:UZH589830 VJC589830:VJD589830 VSY589830:VSZ589830 WCU589830:WCV589830 WMQ589830:WMR589830 WWM589830:WWN589830 AE655366:AF655366 KA655366:KB655366 TW655366:TX655366 ADS655366:ADT655366 ANO655366:ANP655366 AXK655366:AXL655366 BHG655366:BHH655366 BRC655366:BRD655366 CAY655366:CAZ655366 CKU655366:CKV655366 CUQ655366:CUR655366 DEM655366:DEN655366 DOI655366:DOJ655366 DYE655366:DYF655366 EIA655366:EIB655366 ERW655366:ERX655366 FBS655366:FBT655366 FLO655366:FLP655366 FVK655366:FVL655366 GFG655366:GFH655366 GPC655366:GPD655366 GYY655366:GYZ655366 HIU655366:HIV655366 HSQ655366:HSR655366 ICM655366:ICN655366 IMI655366:IMJ655366 IWE655366:IWF655366 JGA655366:JGB655366 JPW655366:JPX655366 JZS655366:JZT655366 KJO655366:KJP655366 KTK655366:KTL655366 LDG655366:LDH655366 LNC655366:LND655366 LWY655366:LWZ655366 MGU655366:MGV655366 MQQ655366:MQR655366 NAM655366:NAN655366 NKI655366:NKJ655366 NUE655366:NUF655366 OEA655366:OEB655366 ONW655366:ONX655366 OXS655366:OXT655366 PHO655366:PHP655366 PRK655366:PRL655366 QBG655366:QBH655366 QLC655366:QLD655366 QUY655366:QUZ655366 REU655366:REV655366 ROQ655366:ROR655366 RYM655366:RYN655366 SII655366:SIJ655366 SSE655366:SSF655366 TCA655366:TCB655366 TLW655366:TLX655366 TVS655366:TVT655366 UFO655366:UFP655366 UPK655366:UPL655366 UZG655366:UZH655366 VJC655366:VJD655366 VSY655366:VSZ655366 WCU655366:WCV655366 WMQ655366:WMR655366 WWM655366:WWN655366 AE720902:AF720902 KA720902:KB720902 TW720902:TX720902 ADS720902:ADT720902 ANO720902:ANP720902 AXK720902:AXL720902 BHG720902:BHH720902 BRC720902:BRD720902 CAY720902:CAZ720902 CKU720902:CKV720902 CUQ720902:CUR720902 DEM720902:DEN720902 DOI720902:DOJ720902 DYE720902:DYF720902 EIA720902:EIB720902 ERW720902:ERX720902 FBS720902:FBT720902 FLO720902:FLP720902 FVK720902:FVL720902 GFG720902:GFH720902 GPC720902:GPD720902 GYY720902:GYZ720902 HIU720902:HIV720902 HSQ720902:HSR720902 ICM720902:ICN720902 IMI720902:IMJ720902 IWE720902:IWF720902 JGA720902:JGB720902 JPW720902:JPX720902 JZS720902:JZT720902 KJO720902:KJP720902 KTK720902:KTL720902 LDG720902:LDH720902 LNC720902:LND720902 LWY720902:LWZ720902 MGU720902:MGV720902 MQQ720902:MQR720902 NAM720902:NAN720902 NKI720902:NKJ720902 NUE720902:NUF720902 OEA720902:OEB720902 ONW720902:ONX720902 OXS720902:OXT720902 PHO720902:PHP720902 PRK720902:PRL720902 QBG720902:QBH720902 QLC720902:QLD720902 QUY720902:QUZ720902 REU720902:REV720902 ROQ720902:ROR720902 RYM720902:RYN720902 SII720902:SIJ720902 SSE720902:SSF720902 TCA720902:TCB720902 TLW720902:TLX720902 TVS720902:TVT720902 UFO720902:UFP720902 UPK720902:UPL720902 UZG720902:UZH720902 VJC720902:VJD720902 VSY720902:VSZ720902 WCU720902:WCV720902 WMQ720902:WMR720902 WWM720902:WWN720902 AE786438:AF786438 KA786438:KB786438 TW786438:TX786438 ADS786438:ADT786438 ANO786438:ANP786438 AXK786438:AXL786438 BHG786438:BHH786438 BRC786438:BRD786438 CAY786438:CAZ786438 CKU786438:CKV786438 CUQ786438:CUR786438 DEM786438:DEN786438 DOI786438:DOJ786438 DYE786438:DYF786438 EIA786438:EIB786438 ERW786438:ERX786438 FBS786438:FBT786438 FLO786438:FLP786438 FVK786438:FVL786438 GFG786438:GFH786438 GPC786438:GPD786438 GYY786438:GYZ786438 HIU786438:HIV786438 HSQ786438:HSR786438 ICM786438:ICN786438 IMI786438:IMJ786438 IWE786438:IWF786438 JGA786438:JGB786438 JPW786438:JPX786438 JZS786438:JZT786438 KJO786438:KJP786438 KTK786438:KTL786438 LDG786438:LDH786438 LNC786438:LND786438 LWY786438:LWZ786438 MGU786438:MGV786438 MQQ786438:MQR786438 NAM786438:NAN786438 NKI786438:NKJ786438 NUE786438:NUF786438 OEA786438:OEB786438 ONW786438:ONX786438 OXS786438:OXT786438 PHO786438:PHP786438 PRK786438:PRL786438 QBG786438:QBH786438 QLC786438:QLD786438 QUY786438:QUZ786438 REU786438:REV786438 ROQ786438:ROR786438 RYM786438:RYN786438 SII786438:SIJ786438 SSE786438:SSF786438 TCA786438:TCB786438 TLW786438:TLX786438 TVS786438:TVT786438 UFO786438:UFP786438 UPK786438:UPL786438 UZG786438:UZH786438 VJC786438:VJD786438 VSY786438:VSZ786438 WCU786438:WCV786438 WMQ786438:WMR786438 WWM786438:WWN786438 AE851974:AF851974 KA851974:KB851974 TW851974:TX851974 ADS851974:ADT851974 ANO851974:ANP851974 AXK851974:AXL851974 BHG851974:BHH851974 BRC851974:BRD851974 CAY851974:CAZ851974 CKU851974:CKV851974 CUQ851974:CUR851974 DEM851974:DEN851974 DOI851974:DOJ851974 DYE851974:DYF851974 EIA851974:EIB851974 ERW851974:ERX851974 FBS851974:FBT851974 FLO851974:FLP851974 FVK851974:FVL851974 GFG851974:GFH851974 GPC851974:GPD851974 GYY851974:GYZ851974 HIU851974:HIV851974 HSQ851974:HSR851974 ICM851974:ICN851974 IMI851974:IMJ851974 IWE851974:IWF851974 JGA851974:JGB851974 JPW851974:JPX851974 JZS851974:JZT851974 KJO851974:KJP851974 KTK851974:KTL851974 LDG851974:LDH851974 LNC851974:LND851974 LWY851974:LWZ851974 MGU851974:MGV851974 MQQ851974:MQR851974 NAM851974:NAN851974 NKI851974:NKJ851974 NUE851974:NUF851974 OEA851974:OEB851974 ONW851974:ONX851974 OXS851974:OXT851974 PHO851974:PHP851974 PRK851974:PRL851974 QBG851974:QBH851974 QLC851974:QLD851974 QUY851974:QUZ851974 REU851974:REV851974 ROQ851974:ROR851974 RYM851974:RYN851974 SII851974:SIJ851974 SSE851974:SSF851974 TCA851974:TCB851974 TLW851974:TLX851974 TVS851974:TVT851974 UFO851974:UFP851974 UPK851974:UPL851974 UZG851974:UZH851974 VJC851974:VJD851974 VSY851974:VSZ851974 WCU851974:WCV851974 WMQ851974:WMR851974 WWM851974:WWN851974 AE917510:AF917510 KA917510:KB917510 TW917510:TX917510 ADS917510:ADT917510 ANO917510:ANP917510 AXK917510:AXL917510 BHG917510:BHH917510 BRC917510:BRD917510 CAY917510:CAZ917510 CKU917510:CKV917510 CUQ917510:CUR917510 DEM917510:DEN917510 DOI917510:DOJ917510 DYE917510:DYF917510 EIA917510:EIB917510 ERW917510:ERX917510 FBS917510:FBT917510 FLO917510:FLP917510 FVK917510:FVL917510 GFG917510:GFH917510 GPC917510:GPD917510 GYY917510:GYZ917510 HIU917510:HIV917510 HSQ917510:HSR917510 ICM917510:ICN917510 IMI917510:IMJ917510 IWE917510:IWF917510 JGA917510:JGB917510 JPW917510:JPX917510 JZS917510:JZT917510 KJO917510:KJP917510 KTK917510:KTL917510 LDG917510:LDH917510 LNC917510:LND917510 LWY917510:LWZ917510 MGU917510:MGV917510 MQQ917510:MQR917510 NAM917510:NAN917510 NKI917510:NKJ917510 NUE917510:NUF917510 OEA917510:OEB917510 ONW917510:ONX917510 OXS917510:OXT917510 PHO917510:PHP917510 PRK917510:PRL917510 QBG917510:QBH917510 QLC917510:QLD917510 QUY917510:QUZ917510 REU917510:REV917510 ROQ917510:ROR917510 RYM917510:RYN917510 SII917510:SIJ917510 SSE917510:SSF917510 TCA917510:TCB917510 TLW917510:TLX917510 TVS917510:TVT917510 UFO917510:UFP917510 UPK917510:UPL917510 UZG917510:UZH917510 VJC917510:VJD917510 VSY917510:VSZ917510 WCU917510:WCV917510 WMQ917510:WMR917510 WWM917510:WWN917510 AE983046:AF983046 KA983046:KB983046 TW983046:TX983046 ADS983046:ADT983046 ANO983046:ANP983046 AXK983046:AXL983046 BHG983046:BHH983046 BRC983046:BRD983046 CAY983046:CAZ983046 CKU983046:CKV983046 CUQ983046:CUR983046 DEM983046:DEN983046 DOI983046:DOJ983046 DYE983046:DYF983046 EIA983046:EIB983046 ERW983046:ERX983046 FBS983046:FBT983046 FLO983046:FLP983046 FVK983046:FVL983046 GFG983046:GFH983046 GPC983046:GPD983046 GYY983046:GYZ983046 HIU983046:HIV983046 HSQ983046:HSR983046 ICM983046:ICN983046 IMI983046:IMJ983046 IWE983046:IWF983046 JGA983046:JGB983046 JPW983046:JPX983046 JZS983046:JZT983046 KJO983046:KJP983046 KTK983046:KTL983046 LDG983046:LDH983046 LNC983046:LND983046 LWY983046:LWZ983046 MGU983046:MGV983046 MQQ983046:MQR983046 NAM983046:NAN983046 NKI983046:NKJ983046 NUE983046:NUF983046 OEA983046:OEB983046 ONW983046:ONX983046 OXS983046:OXT983046 PHO983046:PHP983046 PRK983046:PRL983046 QBG983046:QBH983046 QLC983046:QLD983046 QUY983046:QUZ983046 REU983046:REV983046 ROQ983046:ROR983046 RYM983046:RYN983046 SII983046:SIJ983046 SSE983046:SSF983046 TCA983046:TCB983046 TLW983046:TLX983046 TVS983046:TVT983046 UFO983046:UFP983046 UPK983046:UPL983046 UZG983046:UZH983046 VJC983046:VJD983046 VSY983046:VSZ983046 WCU983046:WCV983046 WMQ983046:WMR983046 WWM983046:WWN983046 N20:P20 JJ20:JL20 TF20:TH20 ADB20:ADD20 AMX20:AMZ20 AWT20:AWV20 BGP20:BGR20 BQL20:BQN20 CAH20:CAJ20 CKD20:CKF20 CTZ20:CUB20 DDV20:DDX20 DNR20:DNT20 DXN20:DXP20 EHJ20:EHL20 ERF20:ERH20 FBB20:FBD20 FKX20:FKZ20 FUT20:FUV20 GEP20:GER20 GOL20:GON20 GYH20:GYJ20 HID20:HIF20 HRZ20:HSB20 IBV20:IBX20 ILR20:ILT20 IVN20:IVP20 JFJ20:JFL20 JPF20:JPH20 JZB20:JZD20 KIX20:KIZ20 KST20:KSV20 LCP20:LCR20 LML20:LMN20 LWH20:LWJ20 MGD20:MGF20 MPZ20:MQB20 MZV20:MZX20 NJR20:NJT20 NTN20:NTP20 ODJ20:ODL20 ONF20:ONH20 OXB20:OXD20 PGX20:PGZ20 PQT20:PQV20 QAP20:QAR20 QKL20:QKN20 QUH20:QUJ20 RED20:REF20 RNZ20:ROB20 RXV20:RXX20 SHR20:SHT20 SRN20:SRP20 TBJ20:TBL20 TLF20:TLH20 TVB20:TVD20 UEX20:UEZ20 UOT20:UOV20 UYP20:UYR20 VIL20:VIN20 VSH20:VSJ20 WCD20:WCF20 WLZ20:WMB20 WVV20:WVX20 N65556:P65556 JJ65556:JL65556 TF65556:TH65556 ADB65556:ADD65556 AMX65556:AMZ65556 AWT65556:AWV65556 BGP65556:BGR65556 BQL65556:BQN65556 CAH65556:CAJ65556 CKD65556:CKF65556 CTZ65556:CUB65556 DDV65556:DDX65556 DNR65556:DNT65556 DXN65556:DXP65556 EHJ65556:EHL65556 ERF65556:ERH65556 FBB65556:FBD65556 FKX65556:FKZ65556 FUT65556:FUV65556 GEP65556:GER65556 GOL65556:GON65556 GYH65556:GYJ65556 HID65556:HIF65556 HRZ65556:HSB65556 IBV65556:IBX65556 ILR65556:ILT65556 IVN65556:IVP65556 JFJ65556:JFL65556 JPF65556:JPH65556 JZB65556:JZD65556 KIX65556:KIZ65556 KST65556:KSV65556 LCP65556:LCR65556 LML65556:LMN65556 LWH65556:LWJ65556 MGD65556:MGF65556 MPZ65556:MQB65556 MZV65556:MZX65556 NJR65556:NJT65556 NTN65556:NTP65556 ODJ65556:ODL65556 ONF65556:ONH65556 OXB65556:OXD65556 PGX65556:PGZ65556 PQT65556:PQV65556 QAP65556:QAR65556 QKL65556:QKN65556 QUH65556:QUJ65556 RED65556:REF65556 RNZ65556:ROB65556 RXV65556:RXX65556 SHR65556:SHT65556 SRN65556:SRP65556 TBJ65556:TBL65556 TLF65556:TLH65556 TVB65556:TVD65556 UEX65556:UEZ65556 UOT65556:UOV65556 UYP65556:UYR65556 VIL65556:VIN65556 VSH65556:VSJ65556 WCD65556:WCF65556 WLZ65556:WMB65556 WVV65556:WVX65556 N131092:P131092 JJ131092:JL131092 TF131092:TH131092 ADB131092:ADD131092 AMX131092:AMZ131092 AWT131092:AWV131092 BGP131092:BGR131092 BQL131092:BQN131092 CAH131092:CAJ131092 CKD131092:CKF131092 CTZ131092:CUB131092 DDV131092:DDX131092 DNR131092:DNT131092 DXN131092:DXP131092 EHJ131092:EHL131092 ERF131092:ERH131092 FBB131092:FBD131092 FKX131092:FKZ131092 FUT131092:FUV131092 GEP131092:GER131092 GOL131092:GON131092 GYH131092:GYJ131092 HID131092:HIF131092 HRZ131092:HSB131092 IBV131092:IBX131092 ILR131092:ILT131092 IVN131092:IVP131092 JFJ131092:JFL131092 JPF131092:JPH131092 JZB131092:JZD131092 KIX131092:KIZ131092 KST131092:KSV131092 LCP131092:LCR131092 LML131092:LMN131092 LWH131092:LWJ131092 MGD131092:MGF131092 MPZ131092:MQB131092 MZV131092:MZX131092 NJR131092:NJT131092 NTN131092:NTP131092 ODJ131092:ODL131092 ONF131092:ONH131092 OXB131092:OXD131092 PGX131092:PGZ131092 PQT131092:PQV131092 QAP131092:QAR131092 QKL131092:QKN131092 QUH131092:QUJ131092 RED131092:REF131092 RNZ131092:ROB131092 RXV131092:RXX131092 SHR131092:SHT131092 SRN131092:SRP131092 TBJ131092:TBL131092 TLF131092:TLH131092 TVB131092:TVD131092 UEX131092:UEZ131092 UOT131092:UOV131092 UYP131092:UYR131092 VIL131092:VIN131092 VSH131092:VSJ131092 WCD131092:WCF131092 WLZ131092:WMB131092 WVV131092:WVX131092 N196628:P196628 JJ196628:JL196628 TF196628:TH196628 ADB196628:ADD196628 AMX196628:AMZ196628 AWT196628:AWV196628 BGP196628:BGR196628 BQL196628:BQN196628 CAH196628:CAJ196628 CKD196628:CKF196628 CTZ196628:CUB196628 DDV196628:DDX196628 DNR196628:DNT196628 DXN196628:DXP196628 EHJ196628:EHL196628 ERF196628:ERH196628 FBB196628:FBD196628 FKX196628:FKZ196628 FUT196628:FUV196628 GEP196628:GER196628 GOL196628:GON196628 GYH196628:GYJ196628 HID196628:HIF196628 HRZ196628:HSB196628 IBV196628:IBX196628 ILR196628:ILT196628 IVN196628:IVP196628 JFJ196628:JFL196628 JPF196628:JPH196628 JZB196628:JZD196628 KIX196628:KIZ196628 KST196628:KSV196628 LCP196628:LCR196628 LML196628:LMN196628 LWH196628:LWJ196628 MGD196628:MGF196628 MPZ196628:MQB196628 MZV196628:MZX196628 NJR196628:NJT196628 NTN196628:NTP196628 ODJ196628:ODL196628 ONF196628:ONH196628 OXB196628:OXD196628 PGX196628:PGZ196628 PQT196628:PQV196628 QAP196628:QAR196628 QKL196628:QKN196628 QUH196628:QUJ196628 RED196628:REF196628 RNZ196628:ROB196628 RXV196628:RXX196628 SHR196628:SHT196628 SRN196628:SRP196628 TBJ196628:TBL196628 TLF196628:TLH196628 TVB196628:TVD196628 UEX196628:UEZ196628 UOT196628:UOV196628 UYP196628:UYR196628 VIL196628:VIN196628 VSH196628:VSJ196628 WCD196628:WCF196628 WLZ196628:WMB196628 WVV196628:WVX196628 N262164:P262164 JJ262164:JL262164 TF262164:TH262164 ADB262164:ADD262164 AMX262164:AMZ262164 AWT262164:AWV262164 BGP262164:BGR262164 BQL262164:BQN262164 CAH262164:CAJ262164 CKD262164:CKF262164 CTZ262164:CUB262164 DDV262164:DDX262164 DNR262164:DNT262164 DXN262164:DXP262164 EHJ262164:EHL262164 ERF262164:ERH262164 FBB262164:FBD262164 FKX262164:FKZ262164 FUT262164:FUV262164 GEP262164:GER262164 GOL262164:GON262164 GYH262164:GYJ262164 HID262164:HIF262164 HRZ262164:HSB262164 IBV262164:IBX262164 ILR262164:ILT262164 IVN262164:IVP262164 JFJ262164:JFL262164 JPF262164:JPH262164 JZB262164:JZD262164 KIX262164:KIZ262164 KST262164:KSV262164 LCP262164:LCR262164 LML262164:LMN262164 LWH262164:LWJ262164 MGD262164:MGF262164 MPZ262164:MQB262164 MZV262164:MZX262164 NJR262164:NJT262164 NTN262164:NTP262164 ODJ262164:ODL262164 ONF262164:ONH262164 OXB262164:OXD262164 PGX262164:PGZ262164 PQT262164:PQV262164 QAP262164:QAR262164 QKL262164:QKN262164 QUH262164:QUJ262164 RED262164:REF262164 RNZ262164:ROB262164 RXV262164:RXX262164 SHR262164:SHT262164 SRN262164:SRP262164 TBJ262164:TBL262164 TLF262164:TLH262164 TVB262164:TVD262164 UEX262164:UEZ262164 UOT262164:UOV262164 UYP262164:UYR262164 VIL262164:VIN262164 VSH262164:VSJ262164 WCD262164:WCF262164 WLZ262164:WMB262164 WVV262164:WVX262164 N327700:P327700 JJ327700:JL327700 TF327700:TH327700 ADB327700:ADD327700 AMX327700:AMZ327700 AWT327700:AWV327700 BGP327700:BGR327700 BQL327700:BQN327700 CAH327700:CAJ327700 CKD327700:CKF327700 CTZ327700:CUB327700 DDV327700:DDX327700 DNR327700:DNT327700 DXN327700:DXP327700 EHJ327700:EHL327700 ERF327700:ERH327700 FBB327700:FBD327700 FKX327700:FKZ327700 FUT327700:FUV327700 GEP327700:GER327700 GOL327700:GON327700 GYH327700:GYJ327700 HID327700:HIF327700 HRZ327700:HSB327700 IBV327700:IBX327700 ILR327700:ILT327700 IVN327700:IVP327700 JFJ327700:JFL327700 JPF327700:JPH327700 JZB327700:JZD327700 KIX327700:KIZ327700 KST327700:KSV327700 LCP327700:LCR327700 LML327700:LMN327700 LWH327700:LWJ327700 MGD327700:MGF327700 MPZ327700:MQB327700 MZV327700:MZX327700 NJR327700:NJT327700 NTN327700:NTP327700 ODJ327700:ODL327700 ONF327700:ONH327700 OXB327700:OXD327700 PGX327700:PGZ327700 PQT327700:PQV327700 QAP327700:QAR327700 QKL327700:QKN327700 QUH327700:QUJ327700 RED327700:REF327700 RNZ327700:ROB327700 RXV327700:RXX327700 SHR327700:SHT327700 SRN327700:SRP327700 TBJ327700:TBL327700 TLF327700:TLH327700 TVB327700:TVD327700 UEX327700:UEZ327700 UOT327700:UOV327700 UYP327700:UYR327700 VIL327700:VIN327700 VSH327700:VSJ327700 WCD327700:WCF327700 WLZ327700:WMB327700 WVV327700:WVX327700 N393236:P393236 JJ393236:JL393236 TF393236:TH393236 ADB393236:ADD393236 AMX393236:AMZ393236 AWT393236:AWV393236 BGP393236:BGR393236 BQL393236:BQN393236 CAH393236:CAJ393236 CKD393236:CKF393236 CTZ393236:CUB393236 DDV393236:DDX393236 DNR393236:DNT393236 DXN393236:DXP393236 EHJ393236:EHL393236 ERF393236:ERH393236 FBB393236:FBD393236 FKX393236:FKZ393236 FUT393236:FUV393236 GEP393236:GER393236 GOL393236:GON393236 GYH393236:GYJ393236 HID393236:HIF393236 HRZ393236:HSB393236 IBV393236:IBX393236 ILR393236:ILT393236 IVN393236:IVP393236 JFJ393236:JFL393236 JPF393236:JPH393236 JZB393236:JZD393236 KIX393236:KIZ393236 KST393236:KSV393236 LCP393236:LCR393236 LML393236:LMN393236 LWH393236:LWJ393236 MGD393236:MGF393236 MPZ393236:MQB393236 MZV393236:MZX393236 NJR393236:NJT393236 NTN393236:NTP393236 ODJ393236:ODL393236 ONF393236:ONH393236 OXB393236:OXD393236 PGX393236:PGZ393236 PQT393236:PQV393236 QAP393236:QAR393236 QKL393236:QKN393236 QUH393236:QUJ393236 RED393236:REF393236 RNZ393236:ROB393236 RXV393236:RXX393236 SHR393236:SHT393236 SRN393236:SRP393236 TBJ393236:TBL393236 TLF393236:TLH393236 TVB393236:TVD393236 UEX393236:UEZ393236 UOT393236:UOV393236 UYP393236:UYR393236 VIL393236:VIN393236 VSH393236:VSJ393236 WCD393236:WCF393236 WLZ393236:WMB393236 WVV393236:WVX393236 N458772:P458772 JJ458772:JL458772 TF458772:TH458772 ADB458772:ADD458772 AMX458772:AMZ458772 AWT458772:AWV458772 BGP458772:BGR458772 BQL458772:BQN458772 CAH458772:CAJ458772 CKD458772:CKF458772 CTZ458772:CUB458772 DDV458772:DDX458772 DNR458772:DNT458772 DXN458772:DXP458772 EHJ458772:EHL458772 ERF458772:ERH458772 FBB458772:FBD458772 FKX458772:FKZ458772 FUT458772:FUV458772 GEP458772:GER458772 GOL458772:GON458772 GYH458772:GYJ458772 HID458772:HIF458772 HRZ458772:HSB458772 IBV458772:IBX458772 ILR458772:ILT458772 IVN458772:IVP458772 JFJ458772:JFL458772 JPF458772:JPH458772 JZB458772:JZD458772 KIX458772:KIZ458772 KST458772:KSV458772 LCP458772:LCR458772 LML458772:LMN458772 LWH458772:LWJ458772 MGD458772:MGF458772 MPZ458772:MQB458772 MZV458772:MZX458772 NJR458772:NJT458772 NTN458772:NTP458772 ODJ458772:ODL458772 ONF458772:ONH458772 OXB458772:OXD458772 PGX458772:PGZ458772 PQT458772:PQV458772 QAP458772:QAR458772 QKL458772:QKN458772 QUH458772:QUJ458772 RED458772:REF458772 RNZ458772:ROB458772 RXV458772:RXX458772 SHR458772:SHT458772 SRN458772:SRP458772 TBJ458772:TBL458772 TLF458772:TLH458772 TVB458772:TVD458772 UEX458772:UEZ458772 UOT458772:UOV458772 UYP458772:UYR458772 VIL458772:VIN458772 VSH458772:VSJ458772 WCD458772:WCF458772 WLZ458772:WMB458772 WVV458772:WVX458772 N524308:P524308 JJ524308:JL524308 TF524308:TH524308 ADB524308:ADD524308 AMX524308:AMZ524308 AWT524308:AWV524308 BGP524308:BGR524308 BQL524308:BQN524308 CAH524308:CAJ524308 CKD524308:CKF524308 CTZ524308:CUB524308 DDV524308:DDX524308 DNR524308:DNT524308 DXN524308:DXP524308 EHJ524308:EHL524308 ERF524308:ERH524308 FBB524308:FBD524308 FKX524308:FKZ524308 FUT524308:FUV524308 GEP524308:GER524308 GOL524308:GON524308 GYH524308:GYJ524308 HID524308:HIF524308 HRZ524308:HSB524308 IBV524308:IBX524308 ILR524308:ILT524308 IVN524308:IVP524308 JFJ524308:JFL524308 JPF524308:JPH524308 JZB524308:JZD524308 KIX524308:KIZ524308 KST524308:KSV524308 LCP524308:LCR524308 LML524308:LMN524308 LWH524308:LWJ524308 MGD524308:MGF524308 MPZ524308:MQB524308 MZV524308:MZX524308 NJR524308:NJT524308 NTN524308:NTP524308 ODJ524308:ODL524308 ONF524308:ONH524308 OXB524308:OXD524308 PGX524308:PGZ524308 PQT524308:PQV524308 QAP524308:QAR524308 QKL524308:QKN524308 QUH524308:QUJ524308 RED524308:REF524308 RNZ524308:ROB524308 RXV524308:RXX524308 SHR524308:SHT524308 SRN524308:SRP524308 TBJ524308:TBL524308 TLF524308:TLH524308 TVB524308:TVD524308 UEX524308:UEZ524308 UOT524308:UOV524308 UYP524308:UYR524308 VIL524308:VIN524308 VSH524308:VSJ524308 WCD524308:WCF524308 WLZ524308:WMB524308 WVV524308:WVX524308 N589844:P589844 JJ589844:JL589844 TF589844:TH589844 ADB589844:ADD589844 AMX589844:AMZ589844 AWT589844:AWV589844 BGP589844:BGR589844 BQL589844:BQN589844 CAH589844:CAJ589844 CKD589844:CKF589844 CTZ589844:CUB589844 DDV589844:DDX589844 DNR589844:DNT589844 DXN589844:DXP589844 EHJ589844:EHL589844 ERF589844:ERH589844 FBB589844:FBD589844 FKX589844:FKZ589844 FUT589844:FUV589844 GEP589844:GER589844 GOL589844:GON589844 GYH589844:GYJ589844 HID589844:HIF589844 HRZ589844:HSB589844 IBV589844:IBX589844 ILR589844:ILT589844 IVN589844:IVP589844 JFJ589844:JFL589844 JPF589844:JPH589844 JZB589844:JZD589844 KIX589844:KIZ589844 KST589844:KSV589844 LCP589844:LCR589844 LML589844:LMN589844 LWH589844:LWJ589844 MGD589844:MGF589844 MPZ589844:MQB589844 MZV589844:MZX589844 NJR589844:NJT589844 NTN589844:NTP589844 ODJ589844:ODL589844 ONF589844:ONH589844 OXB589844:OXD589844 PGX589844:PGZ589844 PQT589844:PQV589844 QAP589844:QAR589844 QKL589844:QKN589844 QUH589844:QUJ589844 RED589844:REF589844 RNZ589844:ROB589844 RXV589844:RXX589844 SHR589844:SHT589844 SRN589844:SRP589844 TBJ589844:TBL589844 TLF589844:TLH589844 TVB589844:TVD589844 UEX589844:UEZ589844 UOT589844:UOV589844 UYP589844:UYR589844 VIL589844:VIN589844 VSH589844:VSJ589844 WCD589844:WCF589844 WLZ589844:WMB589844 WVV589844:WVX589844 N655380:P655380 JJ655380:JL655380 TF655380:TH655380 ADB655380:ADD655380 AMX655380:AMZ655380 AWT655380:AWV655380 BGP655380:BGR655380 BQL655380:BQN655380 CAH655380:CAJ655380 CKD655380:CKF655380 CTZ655380:CUB655380 DDV655380:DDX655380 DNR655380:DNT655380 DXN655380:DXP655380 EHJ655380:EHL655380 ERF655380:ERH655380 FBB655380:FBD655380 FKX655380:FKZ655380 FUT655380:FUV655380 GEP655380:GER655380 GOL655380:GON655380 GYH655380:GYJ655380 HID655380:HIF655380 HRZ655380:HSB655380 IBV655380:IBX655380 ILR655380:ILT655380 IVN655380:IVP655380 JFJ655380:JFL655380 JPF655380:JPH655380 JZB655380:JZD655380 KIX655380:KIZ655380 KST655380:KSV655380 LCP655380:LCR655380 LML655380:LMN655380 LWH655380:LWJ655380 MGD655380:MGF655380 MPZ655380:MQB655380 MZV655380:MZX655380 NJR655380:NJT655380 NTN655380:NTP655380 ODJ655380:ODL655380 ONF655380:ONH655380 OXB655380:OXD655380 PGX655380:PGZ655380 PQT655380:PQV655380 QAP655380:QAR655380 QKL655380:QKN655380 QUH655380:QUJ655380 RED655380:REF655380 RNZ655380:ROB655380 RXV655380:RXX655380 SHR655380:SHT655380 SRN655380:SRP655380 TBJ655380:TBL655380 TLF655380:TLH655380 TVB655380:TVD655380 UEX655380:UEZ655380 UOT655380:UOV655380 UYP655380:UYR655380 VIL655380:VIN655380 VSH655380:VSJ655380 WCD655380:WCF655380 WLZ655380:WMB655380 WVV655380:WVX655380 N720916:P720916 JJ720916:JL720916 TF720916:TH720916 ADB720916:ADD720916 AMX720916:AMZ720916 AWT720916:AWV720916 BGP720916:BGR720916 BQL720916:BQN720916 CAH720916:CAJ720916 CKD720916:CKF720916 CTZ720916:CUB720916 DDV720916:DDX720916 DNR720916:DNT720916 DXN720916:DXP720916 EHJ720916:EHL720916 ERF720916:ERH720916 FBB720916:FBD720916 FKX720916:FKZ720916 FUT720916:FUV720916 GEP720916:GER720916 GOL720916:GON720916 GYH720916:GYJ720916 HID720916:HIF720916 HRZ720916:HSB720916 IBV720916:IBX720916 ILR720916:ILT720916 IVN720916:IVP720916 JFJ720916:JFL720916 JPF720916:JPH720916 JZB720916:JZD720916 KIX720916:KIZ720916 KST720916:KSV720916 LCP720916:LCR720916 LML720916:LMN720916 LWH720916:LWJ720916 MGD720916:MGF720916 MPZ720916:MQB720916 MZV720916:MZX720916 NJR720916:NJT720916 NTN720916:NTP720916 ODJ720916:ODL720916 ONF720916:ONH720916 OXB720916:OXD720916 PGX720916:PGZ720916 PQT720916:PQV720916 QAP720916:QAR720916 QKL720916:QKN720916 QUH720916:QUJ720916 RED720916:REF720916 RNZ720916:ROB720916 RXV720916:RXX720916 SHR720916:SHT720916 SRN720916:SRP720916 TBJ720916:TBL720916 TLF720916:TLH720916 TVB720916:TVD720916 UEX720916:UEZ720916 UOT720916:UOV720916 UYP720916:UYR720916 VIL720916:VIN720916 VSH720916:VSJ720916 WCD720916:WCF720916 WLZ720916:WMB720916 WVV720916:WVX720916 N786452:P786452 JJ786452:JL786452 TF786452:TH786452 ADB786452:ADD786452 AMX786452:AMZ786452 AWT786452:AWV786452 BGP786452:BGR786452 BQL786452:BQN786452 CAH786452:CAJ786452 CKD786452:CKF786452 CTZ786452:CUB786452 DDV786452:DDX786452 DNR786452:DNT786452 DXN786452:DXP786452 EHJ786452:EHL786452 ERF786452:ERH786452 FBB786452:FBD786452 FKX786452:FKZ786452 FUT786452:FUV786452 GEP786452:GER786452 GOL786452:GON786452 GYH786452:GYJ786452 HID786452:HIF786452 HRZ786452:HSB786452 IBV786452:IBX786452 ILR786452:ILT786452 IVN786452:IVP786452 JFJ786452:JFL786452 JPF786452:JPH786452 JZB786452:JZD786452 KIX786452:KIZ786452 KST786452:KSV786452 LCP786452:LCR786452 LML786452:LMN786452 LWH786452:LWJ786452 MGD786452:MGF786452 MPZ786452:MQB786452 MZV786452:MZX786452 NJR786452:NJT786452 NTN786452:NTP786452 ODJ786452:ODL786452 ONF786452:ONH786452 OXB786452:OXD786452 PGX786452:PGZ786452 PQT786452:PQV786452 QAP786452:QAR786452 QKL786452:QKN786452 QUH786452:QUJ786452 RED786452:REF786452 RNZ786452:ROB786452 RXV786452:RXX786452 SHR786452:SHT786452 SRN786452:SRP786452 TBJ786452:TBL786452 TLF786452:TLH786452 TVB786452:TVD786452 UEX786452:UEZ786452 UOT786452:UOV786452 UYP786452:UYR786452 VIL786452:VIN786452 VSH786452:VSJ786452 WCD786452:WCF786452 WLZ786452:WMB786452 WVV786452:WVX786452 N851988:P851988 JJ851988:JL851988 TF851988:TH851988 ADB851988:ADD851988 AMX851988:AMZ851988 AWT851988:AWV851988 BGP851988:BGR851988 BQL851988:BQN851988 CAH851988:CAJ851988 CKD851988:CKF851988 CTZ851988:CUB851988 DDV851988:DDX851988 DNR851988:DNT851988 DXN851988:DXP851988 EHJ851988:EHL851988 ERF851988:ERH851988 FBB851988:FBD851988 FKX851988:FKZ851988 FUT851988:FUV851988 GEP851988:GER851988 GOL851988:GON851988 GYH851988:GYJ851988 HID851988:HIF851988 HRZ851988:HSB851988 IBV851988:IBX851988 ILR851988:ILT851988 IVN851988:IVP851988 JFJ851988:JFL851988 JPF851988:JPH851988 JZB851988:JZD851988 KIX851988:KIZ851988 KST851988:KSV851988 LCP851988:LCR851988 LML851988:LMN851988 LWH851988:LWJ851988 MGD851988:MGF851988 MPZ851988:MQB851988 MZV851988:MZX851988 NJR851988:NJT851988 NTN851988:NTP851988 ODJ851988:ODL851988 ONF851988:ONH851988 OXB851988:OXD851988 PGX851988:PGZ851988 PQT851988:PQV851988 QAP851988:QAR851988 QKL851988:QKN851988 QUH851988:QUJ851988 RED851988:REF851988 RNZ851988:ROB851988 RXV851988:RXX851988 SHR851988:SHT851988 SRN851988:SRP851988 TBJ851988:TBL851988 TLF851988:TLH851988 TVB851988:TVD851988 UEX851988:UEZ851988 UOT851988:UOV851988 UYP851988:UYR851988 VIL851988:VIN851988 VSH851988:VSJ851988 WCD851988:WCF851988 WLZ851988:WMB851988 WVV851988:WVX851988 N917524:P917524 JJ917524:JL917524 TF917524:TH917524 ADB917524:ADD917524 AMX917524:AMZ917524 AWT917524:AWV917524 BGP917524:BGR917524 BQL917524:BQN917524 CAH917524:CAJ917524 CKD917524:CKF917524 CTZ917524:CUB917524 DDV917524:DDX917524 DNR917524:DNT917524 DXN917524:DXP917524 EHJ917524:EHL917524 ERF917524:ERH917524 FBB917524:FBD917524 FKX917524:FKZ917524 FUT917524:FUV917524 GEP917524:GER917524 GOL917524:GON917524 GYH917524:GYJ917524 HID917524:HIF917524 HRZ917524:HSB917524 IBV917524:IBX917524 ILR917524:ILT917524 IVN917524:IVP917524 JFJ917524:JFL917524 JPF917524:JPH917524 JZB917524:JZD917524 KIX917524:KIZ917524 KST917524:KSV917524 LCP917524:LCR917524 LML917524:LMN917524 LWH917524:LWJ917524 MGD917524:MGF917524 MPZ917524:MQB917524 MZV917524:MZX917524 NJR917524:NJT917524 NTN917524:NTP917524 ODJ917524:ODL917524 ONF917524:ONH917524 OXB917524:OXD917524 PGX917524:PGZ917524 PQT917524:PQV917524 QAP917524:QAR917524 QKL917524:QKN917524 QUH917524:QUJ917524 RED917524:REF917524 RNZ917524:ROB917524 RXV917524:RXX917524 SHR917524:SHT917524 SRN917524:SRP917524 TBJ917524:TBL917524 TLF917524:TLH917524 TVB917524:TVD917524 UEX917524:UEZ917524 UOT917524:UOV917524 UYP917524:UYR917524 VIL917524:VIN917524 VSH917524:VSJ917524 WCD917524:WCF917524 WLZ917524:WMB917524 WVV917524:WVX917524 N983060:P983060 JJ983060:JL983060 TF983060:TH983060 ADB983060:ADD983060 AMX983060:AMZ983060 AWT983060:AWV983060 BGP983060:BGR983060 BQL983060:BQN983060 CAH983060:CAJ983060 CKD983060:CKF983060 CTZ983060:CUB983060 DDV983060:DDX983060 DNR983060:DNT983060 DXN983060:DXP983060 EHJ983060:EHL983060 ERF983060:ERH983060 FBB983060:FBD983060 FKX983060:FKZ983060 FUT983060:FUV983060 GEP983060:GER983060 GOL983060:GON983060 GYH983060:GYJ983060 HID983060:HIF983060 HRZ983060:HSB983060 IBV983060:IBX983060 ILR983060:ILT983060 IVN983060:IVP983060 JFJ983060:JFL983060 JPF983060:JPH983060 JZB983060:JZD983060 KIX983060:KIZ983060 KST983060:KSV983060 LCP983060:LCR983060 LML983060:LMN983060 LWH983060:LWJ983060 MGD983060:MGF983060 MPZ983060:MQB983060 MZV983060:MZX983060 NJR983060:NJT983060 NTN983060:NTP983060 ODJ983060:ODL983060 ONF983060:ONH983060 OXB983060:OXD983060 PGX983060:PGZ983060 PQT983060:PQV983060 QAP983060:QAR983060 QKL983060:QKN983060 QUH983060:QUJ983060 RED983060:REF983060 RNZ983060:ROB983060 RXV983060:RXX983060 SHR983060:SHT983060 SRN983060:SRP983060 TBJ983060:TBL983060 TLF983060:TLH983060 TVB983060:TVD983060 UEX983060:UEZ983060 UOT983060:UOV983060 UYP983060:UYR983060 VIL983060:VIN983060 VSH983060:VSJ983060 WCD983060:WCF983060 WLZ983060:WMB983060 WVV983060:WVX983060 T10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6 JP65546 TL65546 ADH65546 AND65546 AWZ65546 BGV65546 BQR65546 CAN65546 CKJ65546 CUF65546 DEB65546 DNX65546 DXT65546 EHP65546 ERL65546 FBH65546 FLD65546 FUZ65546 GEV65546 GOR65546 GYN65546 HIJ65546 HSF65546 ICB65546 ILX65546 IVT65546 JFP65546 JPL65546 JZH65546 KJD65546 KSZ65546 LCV65546 LMR65546 LWN65546 MGJ65546 MQF65546 NAB65546 NJX65546 NTT65546 ODP65546 ONL65546 OXH65546 PHD65546 PQZ65546 QAV65546 QKR65546 QUN65546 REJ65546 ROF65546 RYB65546 SHX65546 SRT65546 TBP65546 TLL65546 TVH65546 UFD65546 UOZ65546 UYV65546 VIR65546 VSN65546 WCJ65546 WMF65546 WWB65546 T131082 JP131082 TL131082 ADH131082 AND131082 AWZ131082 BGV131082 BQR131082 CAN131082 CKJ131082 CUF131082 DEB131082 DNX131082 DXT131082 EHP131082 ERL131082 FBH131082 FLD131082 FUZ131082 GEV131082 GOR131082 GYN131082 HIJ131082 HSF131082 ICB131082 ILX131082 IVT131082 JFP131082 JPL131082 JZH131082 KJD131082 KSZ131082 LCV131082 LMR131082 LWN131082 MGJ131082 MQF131082 NAB131082 NJX131082 NTT131082 ODP131082 ONL131082 OXH131082 PHD131082 PQZ131082 QAV131082 QKR131082 QUN131082 REJ131082 ROF131082 RYB131082 SHX131082 SRT131082 TBP131082 TLL131082 TVH131082 UFD131082 UOZ131082 UYV131082 VIR131082 VSN131082 WCJ131082 WMF131082 WWB131082 T196618 JP196618 TL196618 ADH196618 AND196618 AWZ196618 BGV196618 BQR196618 CAN196618 CKJ196618 CUF196618 DEB196618 DNX196618 DXT196618 EHP196618 ERL196618 FBH196618 FLD196618 FUZ196618 GEV196618 GOR196618 GYN196618 HIJ196618 HSF196618 ICB196618 ILX196618 IVT196618 JFP196618 JPL196618 JZH196618 KJD196618 KSZ196618 LCV196618 LMR196618 LWN196618 MGJ196618 MQF196618 NAB196618 NJX196618 NTT196618 ODP196618 ONL196618 OXH196618 PHD196618 PQZ196618 QAV196618 QKR196618 QUN196618 REJ196618 ROF196618 RYB196618 SHX196618 SRT196618 TBP196618 TLL196618 TVH196618 UFD196618 UOZ196618 UYV196618 VIR196618 VSN196618 WCJ196618 WMF196618 WWB196618 T262154 JP262154 TL262154 ADH262154 AND262154 AWZ262154 BGV262154 BQR262154 CAN262154 CKJ262154 CUF262154 DEB262154 DNX262154 DXT262154 EHP262154 ERL262154 FBH262154 FLD262154 FUZ262154 GEV262154 GOR262154 GYN262154 HIJ262154 HSF262154 ICB262154 ILX262154 IVT262154 JFP262154 JPL262154 JZH262154 KJD262154 KSZ262154 LCV262154 LMR262154 LWN262154 MGJ262154 MQF262154 NAB262154 NJX262154 NTT262154 ODP262154 ONL262154 OXH262154 PHD262154 PQZ262154 QAV262154 QKR262154 QUN262154 REJ262154 ROF262154 RYB262154 SHX262154 SRT262154 TBP262154 TLL262154 TVH262154 UFD262154 UOZ262154 UYV262154 VIR262154 VSN262154 WCJ262154 WMF262154 WWB262154 T327690 JP327690 TL327690 ADH327690 AND327690 AWZ327690 BGV327690 BQR327690 CAN327690 CKJ327690 CUF327690 DEB327690 DNX327690 DXT327690 EHP327690 ERL327690 FBH327690 FLD327690 FUZ327690 GEV327690 GOR327690 GYN327690 HIJ327690 HSF327690 ICB327690 ILX327690 IVT327690 JFP327690 JPL327690 JZH327690 KJD327690 KSZ327690 LCV327690 LMR327690 LWN327690 MGJ327690 MQF327690 NAB327690 NJX327690 NTT327690 ODP327690 ONL327690 OXH327690 PHD327690 PQZ327690 QAV327690 QKR327690 QUN327690 REJ327690 ROF327690 RYB327690 SHX327690 SRT327690 TBP327690 TLL327690 TVH327690 UFD327690 UOZ327690 UYV327690 VIR327690 VSN327690 WCJ327690 WMF327690 WWB327690 T393226 JP393226 TL393226 ADH393226 AND393226 AWZ393226 BGV393226 BQR393226 CAN393226 CKJ393226 CUF393226 DEB393226 DNX393226 DXT393226 EHP393226 ERL393226 FBH393226 FLD393226 FUZ393226 GEV393226 GOR393226 GYN393226 HIJ393226 HSF393226 ICB393226 ILX393226 IVT393226 JFP393226 JPL393226 JZH393226 KJD393226 KSZ393226 LCV393226 LMR393226 LWN393226 MGJ393226 MQF393226 NAB393226 NJX393226 NTT393226 ODP393226 ONL393226 OXH393226 PHD393226 PQZ393226 QAV393226 QKR393226 QUN393226 REJ393226 ROF393226 RYB393226 SHX393226 SRT393226 TBP393226 TLL393226 TVH393226 UFD393226 UOZ393226 UYV393226 VIR393226 VSN393226 WCJ393226 WMF393226 WWB393226 T458762 JP458762 TL458762 ADH458762 AND458762 AWZ458762 BGV458762 BQR458762 CAN458762 CKJ458762 CUF458762 DEB458762 DNX458762 DXT458762 EHP458762 ERL458762 FBH458762 FLD458762 FUZ458762 GEV458762 GOR458762 GYN458762 HIJ458762 HSF458762 ICB458762 ILX458762 IVT458762 JFP458762 JPL458762 JZH458762 KJD458762 KSZ458762 LCV458762 LMR458762 LWN458762 MGJ458762 MQF458762 NAB458762 NJX458762 NTT458762 ODP458762 ONL458762 OXH458762 PHD458762 PQZ458762 QAV458762 QKR458762 QUN458762 REJ458762 ROF458762 RYB458762 SHX458762 SRT458762 TBP458762 TLL458762 TVH458762 UFD458762 UOZ458762 UYV458762 VIR458762 VSN458762 WCJ458762 WMF458762 WWB458762 T524298 JP524298 TL524298 ADH524298 AND524298 AWZ524298 BGV524298 BQR524298 CAN524298 CKJ524298 CUF524298 DEB524298 DNX524298 DXT524298 EHP524298 ERL524298 FBH524298 FLD524298 FUZ524298 GEV524298 GOR524298 GYN524298 HIJ524298 HSF524298 ICB524298 ILX524298 IVT524298 JFP524298 JPL524298 JZH524298 KJD524298 KSZ524298 LCV524298 LMR524298 LWN524298 MGJ524298 MQF524298 NAB524298 NJX524298 NTT524298 ODP524298 ONL524298 OXH524298 PHD524298 PQZ524298 QAV524298 QKR524298 QUN524298 REJ524298 ROF524298 RYB524298 SHX524298 SRT524298 TBP524298 TLL524298 TVH524298 UFD524298 UOZ524298 UYV524298 VIR524298 VSN524298 WCJ524298 WMF524298 WWB524298 T589834 JP589834 TL589834 ADH589834 AND589834 AWZ589834 BGV589834 BQR589834 CAN589834 CKJ589834 CUF589834 DEB589834 DNX589834 DXT589834 EHP589834 ERL589834 FBH589834 FLD589834 FUZ589834 GEV589834 GOR589834 GYN589834 HIJ589834 HSF589834 ICB589834 ILX589834 IVT589834 JFP589834 JPL589834 JZH589834 KJD589834 KSZ589834 LCV589834 LMR589834 LWN589834 MGJ589834 MQF589834 NAB589834 NJX589834 NTT589834 ODP589834 ONL589834 OXH589834 PHD589834 PQZ589834 QAV589834 QKR589834 QUN589834 REJ589834 ROF589834 RYB589834 SHX589834 SRT589834 TBP589834 TLL589834 TVH589834 UFD589834 UOZ589834 UYV589834 VIR589834 VSN589834 WCJ589834 WMF589834 WWB589834 T655370 JP655370 TL655370 ADH655370 AND655370 AWZ655370 BGV655370 BQR655370 CAN655370 CKJ655370 CUF655370 DEB655370 DNX655370 DXT655370 EHP655370 ERL655370 FBH655370 FLD655370 FUZ655370 GEV655370 GOR655370 GYN655370 HIJ655370 HSF655370 ICB655370 ILX655370 IVT655370 JFP655370 JPL655370 JZH655370 KJD655370 KSZ655370 LCV655370 LMR655370 LWN655370 MGJ655370 MQF655370 NAB655370 NJX655370 NTT655370 ODP655370 ONL655370 OXH655370 PHD655370 PQZ655370 QAV655370 QKR655370 QUN655370 REJ655370 ROF655370 RYB655370 SHX655370 SRT655370 TBP655370 TLL655370 TVH655370 UFD655370 UOZ655370 UYV655370 VIR655370 VSN655370 WCJ655370 WMF655370 WWB655370 T720906 JP720906 TL720906 ADH720906 AND720906 AWZ720906 BGV720906 BQR720906 CAN720906 CKJ720906 CUF720906 DEB720906 DNX720906 DXT720906 EHP720906 ERL720906 FBH720906 FLD720906 FUZ720906 GEV720906 GOR720906 GYN720906 HIJ720906 HSF720906 ICB720906 ILX720906 IVT720906 JFP720906 JPL720906 JZH720906 KJD720906 KSZ720906 LCV720906 LMR720906 LWN720906 MGJ720906 MQF720906 NAB720906 NJX720906 NTT720906 ODP720906 ONL720906 OXH720906 PHD720906 PQZ720906 QAV720906 QKR720906 QUN720906 REJ720906 ROF720906 RYB720906 SHX720906 SRT720906 TBP720906 TLL720906 TVH720906 UFD720906 UOZ720906 UYV720906 VIR720906 VSN720906 WCJ720906 WMF720906 WWB720906 T786442 JP786442 TL786442 ADH786442 AND786442 AWZ786442 BGV786442 BQR786442 CAN786442 CKJ786442 CUF786442 DEB786442 DNX786442 DXT786442 EHP786442 ERL786442 FBH786442 FLD786442 FUZ786442 GEV786442 GOR786442 GYN786442 HIJ786442 HSF786442 ICB786442 ILX786442 IVT786442 JFP786442 JPL786442 JZH786442 KJD786442 KSZ786442 LCV786442 LMR786442 LWN786442 MGJ786442 MQF786442 NAB786442 NJX786442 NTT786442 ODP786442 ONL786442 OXH786442 PHD786442 PQZ786442 QAV786442 QKR786442 QUN786442 REJ786442 ROF786442 RYB786442 SHX786442 SRT786442 TBP786442 TLL786442 TVH786442 UFD786442 UOZ786442 UYV786442 VIR786442 VSN786442 WCJ786442 WMF786442 WWB786442 T851978 JP851978 TL851978 ADH851978 AND851978 AWZ851978 BGV851978 BQR851978 CAN851978 CKJ851978 CUF851978 DEB851978 DNX851978 DXT851978 EHP851978 ERL851978 FBH851978 FLD851978 FUZ851978 GEV851978 GOR851978 GYN851978 HIJ851978 HSF851978 ICB851978 ILX851978 IVT851978 JFP851978 JPL851978 JZH851978 KJD851978 KSZ851978 LCV851978 LMR851978 LWN851978 MGJ851978 MQF851978 NAB851978 NJX851978 NTT851978 ODP851978 ONL851978 OXH851978 PHD851978 PQZ851978 QAV851978 QKR851978 QUN851978 REJ851978 ROF851978 RYB851978 SHX851978 SRT851978 TBP851978 TLL851978 TVH851978 UFD851978 UOZ851978 UYV851978 VIR851978 VSN851978 WCJ851978 WMF851978 WWB851978 T917514 JP917514 TL917514 ADH917514 AND917514 AWZ917514 BGV917514 BQR917514 CAN917514 CKJ917514 CUF917514 DEB917514 DNX917514 DXT917514 EHP917514 ERL917514 FBH917514 FLD917514 FUZ917514 GEV917514 GOR917514 GYN917514 HIJ917514 HSF917514 ICB917514 ILX917514 IVT917514 JFP917514 JPL917514 JZH917514 KJD917514 KSZ917514 LCV917514 LMR917514 LWN917514 MGJ917514 MQF917514 NAB917514 NJX917514 NTT917514 ODP917514 ONL917514 OXH917514 PHD917514 PQZ917514 QAV917514 QKR917514 QUN917514 REJ917514 ROF917514 RYB917514 SHX917514 SRT917514 TBP917514 TLL917514 TVH917514 UFD917514 UOZ917514 UYV917514 VIR917514 VSN917514 WCJ917514 WMF917514 WWB917514 T983050 JP983050 TL983050 ADH983050 AND983050 AWZ983050 BGV983050 BQR983050 CAN983050 CKJ983050 CUF983050 DEB983050 DNX983050 DXT983050 EHP983050 ERL983050 FBH983050 FLD983050 FUZ983050 GEV983050 GOR983050 GYN983050 HIJ983050 HSF983050 ICB983050 ILX983050 IVT983050 JFP983050 JPL983050 JZH983050 KJD983050 KSZ983050 LCV983050 LMR983050 LWN983050 MGJ983050 MQF983050 NAB983050 NJX983050 NTT983050 ODP983050 ONL983050 OXH983050 PHD983050 PQZ983050 QAV983050 QKR983050 QUN983050 REJ983050 ROF983050 RYB983050 SHX983050 SRT983050 TBP983050 TLL983050 TVH983050 UFD983050 UOZ983050 UYV983050 VIR983050 VSN983050 WCJ983050 WMF983050 WWB983050 K6:M6 JG6:JI6 TC6:TE6 ACY6:ADA6 AMU6:AMW6 AWQ6:AWS6 BGM6:BGO6 BQI6:BQK6 CAE6:CAG6 CKA6:CKC6 CTW6:CTY6 DDS6:DDU6 DNO6:DNQ6 DXK6:DXM6 EHG6:EHI6 ERC6:ERE6 FAY6:FBA6 FKU6:FKW6 FUQ6:FUS6 GEM6:GEO6 GOI6:GOK6 GYE6:GYG6 HIA6:HIC6 HRW6:HRY6 IBS6:IBU6 ILO6:ILQ6 IVK6:IVM6 JFG6:JFI6 JPC6:JPE6 JYY6:JZA6 KIU6:KIW6 KSQ6:KSS6 LCM6:LCO6 LMI6:LMK6 LWE6:LWG6 MGA6:MGC6 MPW6:MPY6 MZS6:MZU6 NJO6:NJQ6 NTK6:NTM6 ODG6:ODI6 ONC6:ONE6 OWY6:OXA6 PGU6:PGW6 PQQ6:PQS6 QAM6:QAO6 QKI6:QKK6 QUE6:QUG6 REA6:REC6 RNW6:RNY6 RXS6:RXU6 SHO6:SHQ6 SRK6:SRM6 TBG6:TBI6 TLC6:TLE6 TUY6:TVA6 UEU6:UEW6 UOQ6:UOS6 UYM6:UYO6 VII6:VIK6 VSE6:VSG6 WCA6:WCC6 WLW6:WLY6 WVS6:WVU6 K65542:M65542 JG65542:JI65542 TC65542:TE65542 ACY65542:ADA65542 AMU65542:AMW65542 AWQ65542:AWS65542 BGM65542:BGO65542 BQI65542:BQK65542 CAE65542:CAG65542 CKA65542:CKC65542 CTW65542:CTY65542 DDS65542:DDU65542 DNO65542:DNQ65542 DXK65542:DXM65542 EHG65542:EHI65542 ERC65542:ERE65542 FAY65542:FBA65542 FKU65542:FKW65542 FUQ65542:FUS65542 GEM65542:GEO65542 GOI65542:GOK65542 GYE65542:GYG65542 HIA65542:HIC65542 HRW65542:HRY65542 IBS65542:IBU65542 ILO65542:ILQ65542 IVK65542:IVM65542 JFG65542:JFI65542 JPC65542:JPE65542 JYY65542:JZA65542 KIU65542:KIW65542 KSQ65542:KSS65542 LCM65542:LCO65542 LMI65542:LMK65542 LWE65542:LWG65542 MGA65542:MGC65542 MPW65542:MPY65542 MZS65542:MZU65542 NJO65542:NJQ65542 NTK65542:NTM65542 ODG65542:ODI65542 ONC65542:ONE65542 OWY65542:OXA65542 PGU65542:PGW65542 PQQ65542:PQS65542 QAM65542:QAO65542 QKI65542:QKK65542 QUE65542:QUG65542 REA65542:REC65542 RNW65542:RNY65542 RXS65542:RXU65542 SHO65542:SHQ65542 SRK65542:SRM65542 TBG65542:TBI65542 TLC65542:TLE65542 TUY65542:TVA65542 UEU65542:UEW65542 UOQ65542:UOS65542 UYM65542:UYO65542 VII65542:VIK65542 VSE65542:VSG65542 WCA65542:WCC65542 WLW65542:WLY65542 WVS65542:WVU65542 K131078:M131078 JG131078:JI131078 TC131078:TE131078 ACY131078:ADA131078 AMU131078:AMW131078 AWQ131078:AWS131078 BGM131078:BGO131078 BQI131078:BQK131078 CAE131078:CAG131078 CKA131078:CKC131078 CTW131078:CTY131078 DDS131078:DDU131078 DNO131078:DNQ131078 DXK131078:DXM131078 EHG131078:EHI131078 ERC131078:ERE131078 FAY131078:FBA131078 FKU131078:FKW131078 FUQ131078:FUS131078 GEM131078:GEO131078 GOI131078:GOK131078 GYE131078:GYG131078 HIA131078:HIC131078 HRW131078:HRY131078 IBS131078:IBU131078 ILO131078:ILQ131078 IVK131078:IVM131078 JFG131078:JFI131078 JPC131078:JPE131078 JYY131078:JZA131078 KIU131078:KIW131078 KSQ131078:KSS131078 LCM131078:LCO131078 LMI131078:LMK131078 LWE131078:LWG131078 MGA131078:MGC131078 MPW131078:MPY131078 MZS131078:MZU131078 NJO131078:NJQ131078 NTK131078:NTM131078 ODG131078:ODI131078 ONC131078:ONE131078 OWY131078:OXA131078 PGU131078:PGW131078 PQQ131078:PQS131078 QAM131078:QAO131078 QKI131078:QKK131078 QUE131078:QUG131078 REA131078:REC131078 RNW131078:RNY131078 RXS131078:RXU131078 SHO131078:SHQ131078 SRK131078:SRM131078 TBG131078:TBI131078 TLC131078:TLE131078 TUY131078:TVA131078 UEU131078:UEW131078 UOQ131078:UOS131078 UYM131078:UYO131078 VII131078:VIK131078 VSE131078:VSG131078 WCA131078:WCC131078 WLW131078:WLY131078 WVS131078:WVU131078 K196614:M196614 JG196614:JI196614 TC196614:TE196614 ACY196614:ADA196614 AMU196614:AMW196614 AWQ196614:AWS196614 BGM196614:BGO196614 BQI196614:BQK196614 CAE196614:CAG196614 CKA196614:CKC196614 CTW196614:CTY196614 DDS196614:DDU196614 DNO196614:DNQ196614 DXK196614:DXM196614 EHG196614:EHI196614 ERC196614:ERE196614 FAY196614:FBA196614 FKU196614:FKW196614 FUQ196614:FUS196614 GEM196614:GEO196614 GOI196614:GOK196614 GYE196614:GYG196614 HIA196614:HIC196614 HRW196614:HRY196614 IBS196614:IBU196614 ILO196614:ILQ196614 IVK196614:IVM196614 JFG196614:JFI196614 JPC196614:JPE196614 JYY196614:JZA196614 KIU196614:KIW196614 KSQ196614:KSS196614 LCM196614:LCO196614 LMI196614:LMK196614 LWE196614:LWG196614 MGA196614:MGC196614 MPW196614:MPY196614 MZS196614:MZU196614 NJO196614:NJQ196614 NTK196614:NTM196614 ODG196614:ODI196614 ONC196614:ONE196614 OWY196614:OXA196614 PGU196614:PGW196614 PQQ196614:PQS196614 QAM196614:QAO196614 QKI196614:QKK196614 QUE196614:QUG196614 REA196614:REC196614 RNW196614:RNY196614 RXS196614:RXU196614 SHO196614:SHQ196614 SRK196614:SRM196614 TBG196614:TBI196614 TLC196614:TLE196614 TUY196614:TVA196614 UEU196614:UEW196614 UOQ196614:UOS196614 UYM196614:UYO196614 VII196614:VIK196614 VSE196614:VSG196614 WCA196614:WCC196614 WLW196614:WLY196614 WVS196614:WVU196614 K262150:M262150 JG262150:JI262150 TC262150:TE262150 ACY262150:ADA262150 AMU262150:AMW262150 AWQ262150:AWS262150 BGM262150:BGO262150 BQI262150:BQK262150 CAE262150:CAG262150 CKA262150:CKC262150 CTW262150:CTY262150 DDS262150:DDU262150 DNO262150:DNQ262150 DXK262150:DXM262150 EHG262150:EHI262150 ERC262150:ERE262150 FAY262150:FBA262150 FKU262150:FKW262150 FUQ262150:FUS262150 GEM262150:GEO262150 GOI262150:GOK262150 GYE262150:GYG262150 HIA262150:HIC262150 HRW262150:HRY262150 IBS262150:IBU262150 ILO262150:ILQ262150 IVK262150:IVM262150 JFG262150:JFI262150 JPC262150:JPE262150 JYY262150:JZA262150 KIU262150:KIW262150 KSQ262150:KSS262150 LCM262150:LCO262150 LMI262150:LMK262150 LWE262150:LWG262150 MGA262150:MGC262150 MPW262150:MPY262150 MZS262150:MZU262150 NJO262150:NJQ262150 NTK262150:NTM262150 ODG262150:ODI262150 ONC262150:ONE262150 OWY262150:OXA262150 PGU262150:PGW262150 PQQ262150:PQS262150 QAM262150:QAO262150 QKI262150:QKK262150 QUE262150:QUG262150 REA262150:REC262150 RNW262150:RNY262150 RXS262150:RXU262150 SHO262150:SHQ262150 SRK262150:SRM262150 TBG262150:TBI262150 TLC262150:TLE262150 TUY262150:TVA262150 UEU262150:UEW262150 UOQ262150:UOS262150 UYM262150:UYO262150 VII262150:VIK262150 VSE262150:VSG262150 WCA262150:WCC262150 WLW262150:WLY262150 WVS262150:WVU262150 K327686:M327686 JG327686:JI327686 TC327686:TE327686 ACY327686:ADA327686 AMU327686:AMW327686 AWQ327686:AWS327686 BGM327686:BGO327686 BQI327686:BQK327686 CAE327686:CAG327686 CKA327686:CKC327686 CTW327686:CTY327686 DDS327686:DDU327686 DNO327686:DNQ327686 DXK327686:DXM327686 EHG327686:EHI327686 ERC327686:ERE327686 FAY327686:FBA327686 FKU327686:FKW327686 FUQ327686:FUS327686 GEM327686:GEO327686 GOI327686:GOK327686 GYE327686:GYG327686 HIA327686:HIC327686 HRW327686:HRY327686 IBS327686:IBU327686 ILO327686:ILQ327686 IVK327686:IVM327686 JFG327686:JFI327686 JPC327686:JPE327686 JYY327686:JZA327686 KIU327686:KIW327686 KSQ327686:KSS327686 LCM327686:LCO327686 LMI327686:LMK327686 LWE327686:LWG327686 MGA327686:MGC327686 MPW327686:MPY327686 MZS327686:MZU327686 NJO327686:NJQ327686 NTK327686:NTM327686 ODG327686:ODI327686 ONC327686:ONE327686 OWY327686:OXA327686 PGU327686:PGW327686 PQQ327686:PQS327686 QAM327686:QAO327686 QKI327686:QKK327686 QUE327686:QUG327686 REA327686:REC327686 RNW327686:RNY327686 RXS327686:RXU327686 SHO327686:SHQ327686 SRK327686:SRM327686 TBG327686:TBI327686 TLC327686:TLE327686 TUY327686:TVA327686 UEU327686:UEW327686 UOQ327686:UOS327686 UYM327686:UYO327686 VII327686:VIK327686 VSE327686:VSG327686 WCA327686:WCC327686 WLW327686:WLY327686 WVS327686:WVU327686 K393222:M393222 JG393222:JI393222 TC393222:TE393222 ACY393222:ADA393222 AMU393222:AMW393222 AWQ393222:AWS393222 BGM393222:BGO393222 BQI393222:BQK393222 CAE393222:CAG393222 CKA393222:CKC393222 CTW393222:CTY393222 DDS393222:DDU393222 DNO393222:DNQ393222 DXK393222:DXM393222 EHG393222:EHI393222 ERC393222:ERE393222 FAY393222:FBA393222 FKU393222:FKW393222 FUQ393222:FUS393222 GEM393222:GEO393222 GOI393222:GOK393222 GYE393222:GYG393222 HIA393222:HIC393222 HRW393222:HRY393222 IBS393222:IBU393222 ILO393222:ILQ393222 IVK393222:IVM393222 JFG393222:JFI393222 JPC393222:JPE393222 JYY393222:JZA393222 KIU393222:KIW393222 KSQ393222:KSS393222 LCM393222:LCO393222 LMI393222:LMK393222 LWE393222:LWG393222 MGA393222:MGC393222 MPW393222:MPY393222 MZS393222:MZU393222 NJO393222:NJQ393222 NTK393222:NTM393222 ODG393222:ODI393222 ONC393222:ONE393222 OWY393222:OXA393222 PGU393222:PGW393222 PQQ393222:PQS393222 QAM393222:QAO393222 QKI393222:QKK393222 QUE393222:QUG393222 REA393222:REC393222 RNW393222:RNY393222 RXS393222:RXU393222 SHO393222:SHQ393222 SRK393222:SRM393222 TBG393222:TBI393222 TLC393222:TLE393222 TUY393222:TVA393222 UEU393222:UEW393222 UOQ393222:UOS393222 UYM393222:UYO393222 VII393222:VIK393222 VSE393222:VSG393222 WCA393222:WCC393222 WLW393222:WLY393222 WVS393222:WVU393222 K458758:M458758 JG458758:JI458758 TC458758:TE458758 ACY458758:ADA458758 AMU458758:AMW458758 AWQ458758:AWS458758 BGM458758:BGO458758 BQI458758:BQK458758 CAE458758:CAG458758 CKA458758:CKC458758 CTW458758:CTY458758 DDS458758:DDU458758 DNO458758:DNQ458758 DXK458758:DXM458758 EHG458758:EHI458758 ERC458758:ERE458758 FAY458758:FBA458758 FKU458758:FKW458758 FUQ458758:FUS458758 GEM458758:GEO458758 GOI458758:GOK458758 GYE458758:GYG458758 HIA458758:HIC458758 HRW458758:HRY458758 IBS458758:IBU458758 ILO458758:ILQ458758 IVK458758:IVM458758 JFG458758:JFI458758 JPC458758:JPE458758 JYY458758:JZA458758 KIU458758:KIW458758 KSQ458758:KSS458758 LCM458758:LCO458758 LMI458758:LMK458758 LWE458758:LWG458758 MGA458758:MGC458758 MPW458758:MPY458758 MZS458758:MZU458758 NJO458758:NJQ458758 NTK458758:NTM458758 ODG458758:ODI458758 ONC458758:ONE458758 OWY458758:OXA458758 PGU458758:PGW458758 PQQ458758:PQS458758 QAM458758:QAO458758 QKI458758:QKK458758 QUE458758:QUG458758 REA458758:REC458758 RNW458758:RNY458758 RXS458758:RXU458758 SHO458758:SHQ458758 SRK458758:SRM458758 TBG458758:TBI458758 TLC458758:TLE458758 TUY458758:TVA458758 UEU458758:UEW458758 UOQ458758:UOS458758 UYM458758:UYO458758 VII458758:VIK458758 VSE458758:VSG458758 WCA458758:WCC458758 WLW458758:WLY458758 WVS458758:WVU458758 K524294:M524294 JG524294:JI524294 TC524294:TE524294 ACY524294:ADA524294 AMU524294:AMW524294 AWQ524294:AWS524294 BGM524294:BGO524294 BQI524294:BQK524294 CAE524294:CAG524294 CKA524294:CKC524294 CTW524294:CTY524294 DDS524294:DDU524294 DNO524294:DNQ524294 DXK524294:DXM524294 EHG524294:EHI524294 ERC524294:ERE524294 FAY524294:FBA524294 FKU524294:FKW524294 FUQ524294:FUS524294 GEM524294:GEO524294 GOI524294:GOK524294 GYE524294:GYG524294 HIA524294:HIC524294 HRW524294:HRY524294 IBS524294:IBU524294 ILO524294:ILQ524294 IVK524294:IVM524294 JFG524294:JFI524294 JPC524294:JPE524294 JYY524294:JZA524294 KIU524294:KIW524294 KSQ524294:KSS524294 LCM524294:LCO524294 LMI524294:LMK524294 LWE524294:LWG524294 MGA524294:MGC524294 MPW524294:MPY524294 MZS524294:MZU524294 NJO524294:NJQ524294 NTK524294:NTM524294 ODG524294:ODI524294 ONC524294:ONE524294 OWY524294:OXA524294 PGU524294:PGW524294 PQQ524294:PQS524294 QAM524294:QAO524294 QKI524294:QKK524294 QUE524294:QUG524294 REA524294:REC524294 RNW524294:RNY524294 RXS524294:RXU524294 SHO524294:SHQ524294 SRK524294:SRM524294 TBG524294:TBI524294 TLC524294:TLE524294 TUY524294:TVA524294 UEU524294:UEW524294 UOQ524294:UOS524294 UYM524294:UYO524294 VII524294:VIK524294 VSE524294:VSG524294 WCA524294:WCC524294 WLW524294:WLY524294 WVS524294:WVU524294 K589830:M589830 JG589830:JI589830 TC589830:TE589830 ACY589830:ADA589830 AMU589830:AMW589830 AWQ589830:AWS589830 BGM589830:BGO589830 BQI589830:BQK589830 CAE589830:CAG589830 CKA589830:CKC589830 CTW589830:CTY589830 DDS589830:DDU589830 DNO589830:DNQ589830 DXK589830:DXM589830 EHG589830:EHI589830 ERC589830:ERE589830 FAY589830:FBA589830 FKU589830:FKW589830 FUQ589830:FUS589830 GEM589830:GEO589830 GOI589830:GOK589830 GYE589830:GYG589830 HIA589830:HIC589830 HRW589830:HRY589830 IBS589830:IBU589830 ILO589830:ILQ589830 IVK589830:IVM589830 JFG589830:JFI589830 JPC589830:JPE589830 JYY589830:JZA589830 KIU589830:KIW589830 KSQ589830:KSS589830 LCM589830:LCO589830 LMI589830:LMK589830 LWE589830:LWG589830 MGA589830:MGC589830 MPW589830:MPY589830 MZS589830:MZU589830 NJO589830:NJQ589830 NTK589830:NTM589830 ODG589830:ODI589830 ONC589830:ONE589830 OWY589830:OXA589830 PGU589830:PGW589830 PQQ589830:PQS589830 QAM589830:QAO589830 QKI589830:QKK589830 QUE589830:QUG589830 REA589830:REC589830 RNW589830:RNY589830 RXS589830:RXU589830 SHO589830:SHQ589830 SRK589830:SRM589830 TBG589830:TBI589830 TLC589830:TLE589830 TUY589830:TVA589830 UEU589830:UEW589830 UOQ589830:UOS589830 UYM589830:UYO589830 VII589830:VIK589830 VSE589830:VSG589830 WCA589830:WCC589830 WLW589830:WLY589830 WVS589830:WVU589830 K655366:M655366 JG655366:JI655366 TC655366:TE655366 ACY655366:ADA655366 AMU655366:AMW655366 AWQ655366:AWS655366 BGM655366:BGO655366 BQI655366:BQK655366 CAE655366:CAG655366 CKA655366:CKC655366 CTW655366:CTY655366 DDS655366:DDU655366 DNO655366:DNQ655366 DXK655366:DXM655366 EHG655366:EHI655366 ERC655366:ERE655366 FAY655366:FBA655366 FKU655366:FKW655366 FUQ655366:FUS655366 GEM655366:GEO655366 GOI655366:GOK655366 GYE655366:GYG655366 HIA655366:HIC655366 HRW655366:HRY655366 IBS655366:IBU655366 ILO655366:ILQ655366 IVK655366:IVM655366 JFG655366:JFI655366 JPC655366:JPE655366 JYY655366:JZA655366 KIU655366:KIW655366 KSQ655366:KSS655366 LCM655366:LCO655366 LMI655366:LMK655366 LWE655366:LWG655366 MGA655366:MGC655366 MPW655366:MPY655366 MZS655366:MZU655366 NJO655366:NJQ655366 NTK655366:NTM655366 ODG655366:ODI655366 ONC655366:ONE655366 OWY655366:OXA655366 PGU655366:PGW655366 PQQ655366:PQS655366 QAM655366:QAO655366 QKI655366:QKK655366 QUE655366:QUG655366 REA655366:REC655366 RNW655366:RNY655366 RXS655366:RXU655366 SHO655366:SHQ655366 SRK655366:SRM655366 TBG655366:TBI655366 TLC655366:TLE655366 TUY655366:TVA655366 UEU655366:UEW655366 UOQ655366:UOS655366 UYM655366:UYO655366 VII655366:VIK655366 VSE655366:VSG655366 WCA655366:WCC655366 WLW655366:WLY655366 WVS655366:WVU655366 K720902:M720902 JG720902:JI720902 TC720902:TE720902 ACY720902:ADA720902 AMU720902:AMW720902 AWQ720902:AWS720902 BGM720902:BGO720902 BQI720902:BQK720902 CAE720902:CAG720902 CKA720902:CKC720902 CTW720902:CTY720902 DDS720902:DDU720902 DNO720902:DNQ720902 DXK720902:DXM720902 EHG720902:EHI720902 ERC720902:ERE720902 FAY720902:FBA720902 FKU720902:FKW720902 FUQ720902:FUS720902 GEM720902:GEO720902 GOI720902:GOK720902 GYE720902:GYG720902 HIA720902:HIC720902 HRW720902:HRY720902 IBS720902:IBU720902 ILO720902:ILQ720902 IVK720902:IVM720902 JFG720902:JFI720902 JPC720902:JPE720902 JYY720902:JZA720902 KIU720902:KIW720902 KSQ720902:KSS720902 LCM720902:LCO720902 LMI720902:LMK720902 LWE720902:LWG720902 MGA720902:MGC720902 MPW720902:MPY720902 MZS720902:MZU720902 NJO720902:NJQ720902 NTK720902:NTM720902 ODG720902:ODI720902 ONC720902:ONE720902 OWY720902:OXA720902 PGU720902:PGW720902 PQQ720902:PQS720902 QAM720902:QAO720902 QKI720902:QKK720902 QUE720902:QUG720902 REA720902:REC720902 RNW720902:RNY720902 RXS720902:RXU720902 SHO720902:SHQ720902 SRK720902:SRM720902 TBG720902:TBI720902 TLC720902:TLE720902 TUY720902:TVA720902 UEU720902:UEW720902 UOQ720902:UOS720902 UYM720902:UYO720902 VII720902:VIK720902 VSE720902:VSG720902 WCA720902:WCC720902 WLW720902:WLY720902 WVS720902:WVU720902 K786438:M786438 JG786438:JI786438 TC786438:TE786438 ACY786438:ADA786438 AMU786438:AMW786438 AWQ786438:AWS786438 BGM786438:BGO786438 BQI786438:BQK786438 CAE786438:CAG786438 CKA786438:CKC786438 CTW786438:CTY786438 DDS786438:DDU786438 DNO786438:DNQ786438 DXK786438:DXM786438 EHG786438:EHI786438 ERC786438:ERE786438 FAY786438:FBA786438 FKU786438:FKW786438 FUQ786438:FUS786438 GEM786438:GEO786438 GOI786438:GOK786438 GYE786438:GYG786438 HIA786438:HIC786438 HRW786438:HRY786438 IBS786438:IBU786438 ILO786438:ILQ786438 IVK786438:IVM786438 JFG786438:JFI786438 JPC786438:JPE786438 JYY786438:JZA786438 KIU786438:KIW786438 KSQ786438:KSS786438 LCM786438:LCO786438 LMI786438:LMK786438 LWE786438:LWG786438 MGA786438:MGC786438 MPW786438:MPY786438 MZS786438:MZU786438 NJO786438:NJQ786438 NTK786438:NTM786438 ODG786438:ODI786438 ONC786438:ONE786438 OWY786438:OXA786438 PGU786438:PGW786438 PQQ786438:PQS786438 QAM786438:QAO786438 QKI786438:QKK786438 QUE786438:QUG786438 REA786438:REC786438 RNW786438:RNY786438 RXS786438:RXU786438 SHO786438:SHQ786438 SRK786438:SRM786438 TBG786438:TBI786438 TLC786438:TLE786438 TUY786438:TVA786438 UEU786438:UEW786438 UOQ786438:UOS786438 UYM786438:UYO786438 VII786438:VIK786438 VSE786438:VSG786438 WCA786438:WCC786438 WLW786438:WLY786438 WVS786438:WVU786438 K851974:M851974 JG851974:JI851974 TC851974:TE851974 ACY851974:ADA851974 AMU851974:AMW851974 AWQ851974:AWS851974 BGM851974:BGO851974 BQI851974:BQK851974 CAE851974:CAG851974 CKA851974:CKC851974 CTW851974:CTY851974 DDS851974:DDU851974 DNO851974:DNQ851974 DXK851974:DXM851974 EHG851974:EHI851974 ERC851974:ERE851974 FAY851974:FBA851974 FKU851974:FKW851974 FUQ851974:FUS851974 GEM851974:GEO851974 GOI851974:GOK851974 GYE851974:GYG851974 HIA851974:HIC851974 HRW851974:HRY851974 IBS851974:IBU851974 ILO851974:ILQ851974 IVK851974:IVM851974 JFG851974:JFI851974 JPC851974:JPE851974 JYY851974:JZA851974 KIU851974:KIW851974 KSQ851974:KSS851974 LCM851974:LCO851974 LMI851974:LMK851974 LWE851974:LWG851974 MGA851974:MGC851974 MPW851974:MPY851974 MZS851974:MZU851974 NJO851974:NJQ851974 NTK851974:NTM851974 ODG851974:ODI851974 ONC851974:ONE851974 OWY851974:OXA851974 PGU851974:PGW851974 PQQ851974:PQS851974 QAM851974:QAO851974 QKI851974:QKK851974 QUE851974:QUG851974 REA851974:REC851974 RNW851974:RNY851974 RXS851974:RXU851974 SHO851974:SHQ851974 SRK851974:SRM851974 TBG851974:TBI851974 TLC851974:TLE851974 TUY851974:TVA851974 UEU851974:UEW851974 UOQ851974:UOS851974 UYM851974:UYO851974 VII851974:VIK851974 VSE851974:VSG851974 WCA851974:WCC851974 WLW851974:WLY851974 WVS851974:WVU851974 K917510:M917510 JG917510:JI917510 TC917510:TE917510 ACY917510:ADA917510 AMU917510:AMW917510 AWQ917510:AWS917510 BGM917510:BGO917510 BQI917510:BQK917510 CAE917510:CAG917510 CKA917510:CKC917510 CTW917510:CTY917510 DDS917510:DDU917510 DNO917510:DNQ917510 DXK917510:DXM917510 EHG917510:EHI917510 ERC917510:ERE917510 FAY917510:FBA917510 FKU917510:FKW917510 FUQ917510:FUS917510 GEM917510:GEO917510 GOI917510:GOK917510 GYE917510:GYG917510 HIA917510:HIC917510 HRW917510:HRY917510 IBS917510:IBU917510 ILO917510:ILQ917510 IVK917510:IVM917510 JFG917510:JFI917510 JPC917510:JPE917510 JYY917510:JZA917510 KIU917510:KIW917510 KSQ917510:KSS917510 LCM917510:LCO917510 LMI917510:LMK917510 LWE917510:LWG917510 MGA917510:MGC917510 MPW917510:MPY917510 MZS917510:MZU917510 NJO917510:NJQ917510 NTK917510:NTM917510 ODG917510:ODI917510 ONC917510:ONE917510 OWY917510:OXA917510 PGU917510:PGW917510 PQQ917510:PQS917510 QAM917510:QAO917510 QKI917510:QKK917510 QUE917510:QUG917510 REA917510:REC917510 RNW917510:RNY917510 RXS917510:RXU917510 SHO917510:SHQ917510 SRK917510:SRM917510 TBG917510:TBI917510 TLC917510:TLE917510 TUY917510:TVA917510 UEU917510:UEW917510 UOQ917510:UOS917510 UYM917510:UYO917510 VII917510:VIK917510 VSE917510:VSG917510 WCA917510:WCC917510 WLW917510:WLY917510 WVS917510:WVU917510 K983046:M983046 JG983046:JI983046 TC983046:TE983046 ACY983046:ADA983046 AMU983046:AMW983046 AWQ983046:AWS983046 BGM983046:BGO983046 BQI983046:BQK983046 CAE983046:CAG983046 CKA983046:CKC983046 CTW983046:CTY983046 DDS983046:DDU983046 DNO983046:DNQ983046 DXK983046:DXM983046 EHG983046:EHI983046 ERC983046:ERE983046 FAY983046:FBA983046 FKU983046:FKW983046 FUQ983046:FUS983046 GEM983046:GEO983046 GOI983046:GOK983046 GYE983046:GYG983046 HIA983046:HIC983046 HRW983046:HRY983046 IBS983046:IBU983046 ILO983046:ILQ983046 IVK983046:IVM983046 JFG983046:JFI983046 JPC983046:JPE983046 JYY983046:JZA983046 KIU983046:KIW983046 KSQ983046:KSS983046 LCM983046:LCO983046 LMI983046:LMK983046 LWE983046:LWG983046 MGA983046:MGC983046 MPW983046:MPY983046 MZS983046:MZU983046 NJO983046:NJQ983046 NTK983046:NTM983046 ODG983046:ODI983046 ONC983046:ONE983046 OWY983046:OXA983046 PGU983046:PGW983046 PQQ983046:PQS983046 QAM983046:QAO983046 QKI983046:QKK983046 QUE983046:QUG983046 REA983046:REC983046 RNW983046:RNY983046 RXS983046:RXU983046 SHO983046:SHQ983046 SRK983046:SRM983046 TBG983046:TBI983046 TLC983046:TLE983046 TUY983046:TVA983046 UEU983046:UEW983046 UOQ983046:UOS983046 UYM983046:UYO983046 VII983046:VIK983046 VSE983046:VSG983046 WCA983046:WCC983046 WLW983046:WLY983046 WVS983046:WVU983046 I56 JE56 TA56 ACW56 AMS56 AWO56 BGK56 BQG56 CAC56 CJY56 CTU56 DDQ56 DNM56 DXI56 EHE56 ERA56 FAW56 FKS56 FUO56 GEK56 GOG56 GYC56 HHY56 HRU56 IBQ56 ILM56 IVI56 JFE56 JPA56 JYW56 KIS56 KSO56 LCK56 LMG56 LWC56 MFY56 MPU56 MZQ56 NJM56 NTI56 ODE56 ONA56 OWW56 PGS56 PQO56 QAK56 QKG56 QUC56 RDY56 RNU56 RXQ56 SHM56 SRI56 TBE56 TLA56 TUW56 UES56 UOO56 UYK56 VIG56 VSC56 WBY56 WLU56 WVQ56 I65592 JE65592 TA65592 ACW65592 AMS65592 AWO65592 BGK65592 BQG65592 CAC65592 CJY65592 CTU65592 DDQ65592 DNM65592 DXI65592 EHE65592 ERA65592 FAW65592 FKS65592 FUO65592 GEK65592 GOG65592 GYC65592 HHY65592 HRU65592 IBQ65592 ILM65592 IVI65592 JFE65592 JPA65592 JYW65592 KIS65592 KSO65592 LCK65592 LMG65592 LWC65592 MFY65592 MPU65592 MZQ65592 NJM65592 NTI65592 ODE65592 ONA65592 OWW65592 PGS65592 PQO65592 QAK65592 QKG65592 QUC65592 RDY65592 RNU65592 RXQ65592 SHM65592 SRI65592 TBE65592 TLA65592 TUW65592 UES65592 UOO65592 UYK65592 VIG65592 VSC65592 WBY65592 WLU65592 WVQ65592 I131128 JE131128 TA131128 ACW131128 AMS131128 AWO131128 BGK131128 BQG131128 CAC131128 CJY131128 CTU131128 DDQ131128 DNM131128 DXI131128 EHE131128 ERA131128 FAW131128 FKS131128 FUO131128 GEK131128 GOG131128 GYC131128 HHY131128 HRU131128 IBQ131128 ILM131128 IVI131128 JFE131128 JPA131128 JYW131128 KIS131128 KSO131128 LCK131128 LMG131128 LWC131128 MFY131128 MPU131128 MZQ131128 NJM131128 NTI131128 ODE131128 ONA131128 OWW131128 PGS131128 PQO131128 QAK131128 QKG131128 QUC131128 RDY131128 RNU131128 RXQ131128 SHM131128 SRI131128 TBE131128 TLA131128 TUW131128 UES131128 UOO131128 UYK131128 VIG131128 VSC131128 WBY131128 WLU131128 WVQ131128 I196664 JE196664 TA196664 ACW196664 AMS196664 AWO196664 BGK196664 BQG196664 CAC196664 CJY196664 CTU196664 DDQ196664 DNM196664 DXI196664 EHE196664 ERA196664 FAW196664 FKS196664 FUO196664 GEK196664 GOG196664 GYC196664 HHY196664 HRU196664 IBQ196664 ILM196664 IVI196664 JFE196664 JPA196664 JYW196664 KIS196664 KSO196664 LCK196664 LMG196664 LWC196664 MFY196664 MPU196664 MZQ196664 NJM196664 NTI196664 ODE196664 ONA196664 OWW196664 PGS196664 PQO196664 QAK196664 QKG196664 QUC196664 RDY196664 RNU196664 RXQ196664 SHM196664 SRI196664 TBE196664 TLA196664 TUW196664 UES196664 UOO196664 UYK196664 VIG196664 VSC196664 WBY196664 WLU196664 WVQ196664 I262200 JE262200 TA262200 ACW262200 AMS262200 AWO262200 BGK262200 BQG262200 CAC262200 CJY262200 CTU262200 DDQ262200 DNM262200 DXI262200 EHE262200 ERA262200 FAW262200 FKS262200 FUO262200 GEK262200 GOG262200 GYC262200 HHY262200 HRU262200 IBQ262200 ILM262200 IVI262200 JFE262200 JPA262200 JYW262200 KIS262200 KSO262200 LCK262200 LMG262200 LWC262200 MFY262200 MPU262200 MZQ262200 NJM262200 NTI262200 ODE262200 ONA262200 OWW262200 PGS262200 PQO262200 QAK262200 QKG262200 QUC262200 RDY262200 RNU262200 RXQ262200 SHM262200 SRI262200 TBE262200 TLA262200 TUW262200 UES262200 UOO262200 UYK262200 VIG262200 VSC262200 WBY262200 WLU262200 WVQ262200 I327736 JE327736 TA327736 ACW327736 AMS327736 AWO327736 BGK327736 BQG327736 CAC327736 CJY327736 CTU327736 DDQ327736 DNM327736 DXI327736 EHE327736 ERA327736 FAW327736 FKS327736 FUO327736 GEK327736 GOG327736 GYC327736 HHY327736 HRU327736 IBQ327736 ILM327736 IVI327736 JFE327736 JPA327736 JYW327736 KIS327736 KSO327736 LCK327736 LMG327736 LWC327736 MFY327736 MPU327736 MZQ327736 NJM327736 NTI327736 ODE327736 ONA327736 OWW327736 PGS327736 PQO327736 QAK327736 QKG327736 QUC327736 RDY327736 RNU327736 RXQ327736 SHM327736 SRI327736 TBE327736 TLA327736 TUW327736 UES327736 UOO327736 UYK327736 VIG327736 VSC327736 WBY327736 WLU327736 WVQ327736 I393272 JE393272 TA393272 ACW393272 AMS393272 AWO393272 BGK393272 BQG393272 CAC393272 CJY393272 CTU393272 DDQ393272 DNM393272 DXI393272 EHE393272 ERA393272 FAW393272 FKS393272 FUO393272 GEK393272 GOG393272 GYC393272 HHY393272 HRU393272 IBQ393272 ILM393272 IVI393272 JFE393272 JPA393272 JYW393272 KIS393272 KSO393272 LCK393272 LMG393272 LWC393272 MFY393272 MPU393272 MZQ393272 NJM393272 NTI393272 ODE393272 ONA393272 OWW393272 PGS393272 PQO393272 QAK393272 QKG393272 QUC393272 RDY393272 RNU393272 RXQ393272 SHM393272 SRI393272 TBE393272 TLA393272 TUW393272 UES393272 UOO393272 UYK393272 VIG393272 VSC393272 WBY393272 WLU393272 WVQ393272 I458808 JE458808 TA458808 ACW458808 AMS458808 AWO458808 BGK458808 BQG458808 CAC458808 CJY458808 CTU458808 DDQ458808 DNM458808 DXI458808 EHE458808 ERA458808 FAW458808 FKS458808 FUO458808 GEK458808 GOG458808 GYC458808 HHY458808 HRU458808 IBQ458808 ILM458808 IVI458808 JFE458808 JPA458808 JYW458808 KIS458808 KSO458808 LCK458808 LMG458808 LWC458808 MFY458808 MPU458808 MZQ458808 NJM458808 NTI458808 ODE458808 ONA458808 OWW458808 PGS458808 PQO458808 QAK458808 QKG458808 QUC458808 RDY458808 RNU458808 RXQ458808 SHM458808 SRI458808 TBE458808 TLA458808 TUW458808 UES458808 UOO458808 UYK458808 VIG458808 VSC458808 WBY458808 WLU458808 WVQ458808 I524344 JE524344 TA524344 ACW524344 AMS524344 AWO524344 BGK524344 BQG524344 CAC524344 CJY524344 CTU524344 DDQ524344 DNM524344 DXI524344 EHE524344 ERA524344 FAW524344 FKS524344 FUO524344 GEK524344 GOG524344 GYC524344 HHY524344 HRU524344 IBQ524344 ILM524344 IVI524344 JFE524344 JPA524344 JYW524344 KIS524344 KSO524344 LCK524344 LMG524344 LWC524344 MFY524344 MPU524344 MZQ524344 NJM524344 NTI524344 ODE524344 ONA524344 OWW524344 PGS524344 PQO524344 QAK524344 QKG524344 QUC524344 RDY524344 RNU524344 RXQ524344 SHM524344 SRI524344 TBE524344 TLA524344 TUW524344 UES524344 UOO524344 UYK524344 VIG524344 VSC524344 WBY524344 WLU524344 WVQ524344 I589880 JE589880 TA589880 ACW589880 AMS589880 AWO589880 BGK589880 BQG589880 CAC589880 CJY589880 CTU589880 DDQ589880 DNM589880 DXI589880 EHE589880 ERA589880 FAW589880 FKS589880 FUO589880 GEK589880 GOG589880 GYC589880 HHY589880 HRU589880 IBQ589880 ILM589880 IVI589880 JFE589880 JPA589880 JYW589880 KIS589880 KSO589880 LCK589880 LMG589880 LWC589880 MFY589880 MPU589880 MZQ589880 NJM589880 NTI589880 ODE589880 ONA589880 OWW589880 PGS589880 PQO589880 QAK589880 QKG589880 QUC589880 RDY589880 RNU589880 RXQ589880 SHM589880 SRI589880 TBE589880 TLA589880 TUW589880 UES589880 UOO589880 UYK589880 VIG589880 VSC589880 WBY589880 WLU589880 WVQ589880 I655416 JE655416 TA655416 ACW655416 AMS655416 AWO655416 BGK655416 BQG655416 CAC655416 CJY655416 CTU655416 DDQ655416 DNM655416 DXI655416 EHE655416 ERA655416 FAW655416 FKS655416 FUO655416 GEK655416 GOG655416 GYC655416 HHY655416 HRU655416 IBQ655416 ILM655416 IVI655416 JFE655416 JPA655416 JYW655416 KIS655416 KSO655416 LCK655416 LMG655416 LWC655416 MFY655416 MPU655416 MZQ655416 NJM655416 NTI655416 ODE655416 ONA655416 OWW655416 PGS655416 PQO655416 QAK655416 QKG655416 QUC655416 RDY655416 RNU655416 RXQ655416 SHM655416 SRI655416 TBE655416 TLA655416 TUW655416 UES655416 UOO655416 UYK655416 VIG655416 VSC655416 WBY655416 WLU655416 WVQ655416 I720952 JE720952 TA720952 ACW720952 AMS720952 AWO720952 BGK720952 BQG720952 CAC720952 CJY720952 CTU720952 DDQ720952 DNM720952 DXI720952 EHE720952 ERA720952 FAW720952 FKS720952 FUO720952 GEK720952 GOG720952 GYC720952 HHY720952 HRU720952 IBQ720952 ILM720952 IVI720952 JFE720952 JPA720952 JYW720952 KIS720952 KSO720952 LCK720952 LMG720952 LWC720952 MFY720952 MPU720952 MZQ720952 NJM720952 NTI720952 ODE720952 ONA720952 OWW720952 PGS720952 PQO720952 QAK720952 QKG720952 QUC720952 RDY720952 RNU720952 RXQ720952 SHM720952 SRI720952 TBE720952 TLA720952 TUW720952 UES720952 UOO720952 UYK720952 VIG720952 VSC720952 WBY720952 WLU720952 WVQ720952 I786488 JE786488 TA786488 ACW786488 AMS786488 AWO786488 BGK786488 BQG786488 CAC786488 CJY786488 CTU786488 DDQ786488 DNM786488 DXI786488 EHE786488 ERA786488 FAW786488 FKS786488 FUO786488 GEK786488 GOG786488 GYC786488 HHY786488 HRU786488 IBQ786488 ILM786488 IVI786488 JFE786488 JPA786488 JYW786488 KIS786488 KSO786488 LCK786488 LMG786488 LWC786488 MFY786488 MPU786488 MZQ786488 NJM786488 NTI786488 ODE786488 ONA786488 OWW786488 PGS786488 PQO786488 QAK786488 QKG786488 QUC786488 RDY786488 RNU786488 RXQ786488 SHM786488 SRI786488 TBE786488 TLA786488 TUW786488 UES786488 UOO786488 UYK786488 VIG786488 VSC786488 WBY786488 WLU786488 WVQ786488 I852024 JE852024 TA852024 ACW852024 AMS852024 AWO852024 BGK852024 BQG852024 CAC852024 CJY852024 CTU852024 DDQ852024 DNM852024 DXI852024 EHE852024 ERA852024 FAW852024 FKS852024 FUO852024 GEK852024 GOG852024 GYC852024 HHY852024 HRU852024 IBQ852024 ILM852024 IVI852024 JFE852024 JPA852024 JYW852024 KIS852024 KSO852024 LCK852024 LMG852024 LWC852024 MFY852024 MPU852024 MZQ852024 NJM852024 NTI852024 ODE852024 ONA852024 OWW852024 PGS852024 PQO852024 QAK852024 QKG852024 QUC852024 RDY852024 RNU852024 RXQ852024 SHM852024 SRI852024 TBE852024 TLA852024 TUW852024 UES852024 UOO852024 UYK852024 VIG852024 VSC852024 WBY852024 WLU852024 WVQ852024 I917560 JE917560 TA917560 ACW917560 AMS917560 AWO917560 BGK917560 BQG917560 CAC917560 CJY917560 CTU917560 DDQ917560 DNM917560 DXI917560 EHE917560 ERA917560 FAW917560 FKS917560 FUO917560 GEK917560 GOG917560 GYC917560 HHY917560 HRU917560 IBQ917560 ILM917560 IVI917560 JFE917560 JPA917560 JYW917560 KIS917560 KSO917560 LCK917560 LMG917560 LWC917560 MFY917560 MPU917560 MZQ917560 NJM917560 NTI917560 ODE917560 ONA917560 OWW917560 PGS917560 PQO917560 QAK917560 QKG917560 QUC917560 RDY917560 RNU917560 RXQ917560 SHM917560 SRI917560 TBE917560 TLA917560 TUW917560 UES917560 UOO917560 UYK917560 VIG917560 VSC917560 WBY917560 WLU917560 WVQ917560 I983096 JE983096 TA983096 ACW983096 AMS983096 AWO983096 BGK983096 BQG983096 CAC983096 CJY983096 CTU983096 DDQ983096 DNM983096 DXI983096 EHE983096 ERA983096 FAW983096 FKS983096 FUO983096 GEK983096 GOG983096 GYC983096 HHY983096 HRU983096 IBQ983096 ILM983096 IVI983096 JFE983096 JPA983096 JYW983096 KIS983096 KSO983096 LCK983096 LMG983096 LWC983096 MFY983096 MPU983096 MZQ983096 NJM983096 NTI983096 ODE983096 ONA983096 OWW983096 PGS983096 PQO983096 QAK983096 QKG983096 QUC983096 RDY983096 RNU983096 RXQ983096 SHM983096 SRI983096 TBE983096 TLA983096 TUW983096 UES983096 UOO983096 UYK983096 VIG983096 VSC983096 WBY983096 WLU983096 WVQ983096 AC16 JY16 TU16 ADQ16 ANM16 AXI16 BHE16 BRA16 CAW16 CKS16 CUO16 DEK16 DOG16 DYC16 EHY16 ERU16 FBQ16 FLM16 FVI16 GFE16 GPA16 GYW16 HIS16 HSO16 ICK16 IMG16 IWC16 JFY16 JPU16 JZQ16 KJM16 KTI16 LDE16 LNA16 LWW16 MGS16 MQO16 NAK16 NKG16 NUC16 ODY16 ONU16 OXQ16 PHM16 PRI16 QBE16 QLA16 QUW16 RES16 ROO16 RYK16 SIG16 SSC16 TBY16 TLU16 TVQ16 UFM16 UPI16 UZE16 VJA16 VSW16 WCS16 WMO16 WWK16 AC65552 JY65552 TU65552 ADQ65552 ANM65552 AXI65552 BHE65552 BRA65552 CAW65552 CKS65552 CUO65552 DEK65552 DOG65552 DYC65552 EHY65552 ERU65552 FBQ65552 FLM65552 FVI65552 GFE65552 GPA65552 GYW65552 HIS65552 HSO65552 ICK65552 IMG65552 IWC65552 JFY65552 JPU65552 JZQ65552 KJM65552 KTI65552 LDE65552 LNA65552 LWW65552 MGS65552 MQO65552 NAK65552 NKG65552 NUC65552 ODY65552 ONU65552 OXQ65552 PHM65552 PRI65552 QBE65552 QLA65552 QUW65552 RES65552 ROO65552 RYK65552 SIG65552 SSC65552 TBY65552 TLU65552 TVQ65552 UFM65552 UPI65552 UZE65552 VJA65552 VSW65552 WCS65552 WMO65552 WWK65552 AC131088 JY131088 TU131088 ADQ131088 ANM131088 AXI131088 BHE131088 BRA131088 CAW131088 CKS131088 CUO131088 DEK131088 DOG131088 DYC131088 EHY131088 ERU131088 FBQ131088 FLM131088 FVI131088 GFE131088 GPA131088 GYW131088 HIS131088 HSO131088 ICK131088 IMG131088 IWC131088 JFY131088 JPU131088 JZQ131088 KJM131088 KTI131088 LDE131088 LNA131088 LWW131088 MGS131088 MQO131088 NAK131088 NKG131088 NUC131088 ODY131088 ONU131088 OXQ131088 PHM131088 PRI131088 QBE131088 QLA131088 QUW131088 RES131088 ROO131088 RYK131088 SIG131088 SSC131088 TBY131088 TLU131088 TVQ131088 UFM131088 UPI131088 UZE131088 VJA131088 VSW131088 WCS131088 WMO131088 WWK131088 AC196624 JY196624 TU196624 ADQ196624 ANM196624 AXI196624 BHE196624 BRA196624 CAW196624 CKS196624 CUO196624 DEK196624 DOG196624 DYC196624 EHY196624 ERU196624 FBQ196624 FLM196624 FVI196624 GFE196624 GPA196624 GYW196624 HIS196624 HSO196624 ICK196624 IMG196624 IWC196624 JFY196624 JPU196624 JZQ196624 KJM196624 KTI196624 LDE196624 LNA196624 LWW196624 MGS196624 MQO196624 NAK196624 NKG196624 NUC196624 ODY196624 ONU196624 OXQ196624 PHM196624 PRI196624 QBE196624 QLA196624 QUW196624 RES196624 ROO196624 RYK196624 SIG196624 SSC196624 TBY196624 TLU196624 TVQ196624 UFM196624 UPI196624 UZE196624 VJA196624 VSW196624 WCS196624 WMO196624 WWK196624 AC262160 JY262160 TU262160 ADQ262160 ANM262160 AXI262160 BHE262160 BRA262160 CAW262160 CKS262160 CUO262160 DEK262160 DOG262160 DYC262160 EHY262160 ERU262160 FBQ262160 FLM262160 FVI262160 GFE262160 GPA262160 GYW262160 HIS262160 HSO262160 ICK262160 IMG262160 IWC262160 JFY262160 JPU262160 JZQ262160 KJM262160 KTI262160 LDE262160 LNA262160 LWW262160 MGS262160 MQO262160 NAK262160 NKG262160 NUC262160 ODY262160 ONU262160 OXQ262160 PHM262160 PRI262160 QBE262160 QLA262160 QUW262160 RES262160 ROO262160 RYK262160 SIG262160 SSC262160 TBY262160 TLU262160 TVQ262160 UFM262160 UPI262160 UZE262160 VJA262160 VSW262160 WCS262160 WMO262160 WWK262160 AC327696 JY327696 TU327696 ADQ327696 ANM327696 AXI327696 BHE327696 BRA327696 CAW327696 CKS327696 CUO327696 DEK327696 DOG327696 DYC327696 EHY327696 ERU327696 FBQ327696 FLM327696 FVI327696 GFE327696 GPA327696 GYW327696 HIS327696 HSO327696 ICK327696 IMG327696 IWC327696 JFY327696 JPU327696 JZQ327696 KJM327696 KTI327696 LDE327696 LNA327696 LWW327696 MGS327696 MQO327696 NAK327696 NKG327696 NUC327696 ODY327696 ONU327696 OXQ327696 PHM327696 PRI327696 QBE327696 QLA327696 QUW327696 RES327696 ROO327696 RYK327696 SIG327696 SSC327696 TBY327696 TLU327696 TVQ327696 UFM327696 UPI327696 UZE327696 VJA327696 VSW327696 WCS327696 WMO327696 WWK327696 AC393232 JY393232 TU393232 ADQ393232 ANM393232 AXI393232 BHE393232 BRA393232 CAW393232 CKS393232 CUO393232 DEK393232 DOG393232 DYC393232 EHY393232 ERU393232 FBQ393232 FLM393232 FVI393232 GFE393232 GPA393232 GYW393232 HIS393232 HSO393232 ICK393232 IMG393232 IWC393232 JFY393232 JPU393232 JZQ393232 KJM393232 KTI393232 LDE393232 LNA393232 LWW393232 MGS393232 MQO393232 NAK393232 NKG393232 NUC393232 ODY393232 ONU393232 OXQ393232 PHM393232 PRI393232 QBE393232 QLA393232 QUW393232 RES393232 ROO393232 RYK393232 SIG393232 SSC393232 TBY393232 TLU393232 TVQ393232 UFM393232 UPI393232 UZE393232 VJA393232 VSW393232 WCS393232 WMO393232 WWK393232 AC458768 JY458768 TU458768 ADQ458768 ANM458768 AXI458768 BHE458768 BRA458768 CAW458768 CKS458768 CUO458768 DEK458768 DOG458768 DYC458768 EHY458768 ERU458768 FBQ458768 FLM458768 FVI458768 GFE458768 GPA458768 GYW458768 HIS458768 HSO458768 ICK458768 IMG458768 IWC458768 JFY458768 JPU458768 JZQ458768 KJM458768 KTI458768 LDE458768 LNA458768 LWW458768 MGS458768 MQO458768 NAK458768 NKG458768 NUC458768 ODY458768 ONU458768 OXQ458768 PHM458768 PRI458768 QBE458768 QLA458768 QUW458768 RES458768 ROO458768 RYK458768 SIG458768 SSC458768 TBY458768 TLU458768 TVQ458768 UFM458768 UPI458768 UZE458768 VJA458768 VSW458768 WCS458768 WMO458768 WWK458768 AC524304 JY524304 TU524304 ADQ524304 ANM524304 AXI524304 BHE524304 BRA524304 CAW524304 CKS524304 CUO524304 DEK524304 DOG524304 DYC524304 EHY524304 ERU524304 FBQ524304 FLM524304 FVI524304 GFE524304 GPA524304 GYW524304 HIS524304 HSO524304 ICK524304 IMG524304 IWC524304 JFY524304 JPU524304 JZQ524304 KJM524304 KTI524304 LDE524304 LNA524304 LWW524304 MGS524304 MQO524304 NAK524304 NKG524304 NUC524304 ODY524304 ONU524304 OXQ524304 PHM524304 PRI524304 QBE524304 QLA524304 QUW524304 RES524304 ROO524304 RYK524304 SIG524304 SSC524304 TBY524304 TLU524304 TVQ524304 UFM524304 UPI524304 UZE524304 VJA524304 VSW524304 WCS524304 WMO524304 WWK524304 AC589840 JY589840 TU589840 ADQ589840 ANM589840 AXI589840 BHE589840 BRA589840 CAW589840 CKS589840 CUO589840 DEK589840 DOG589840 DYC589840 EHY589840 ERU589840 FBQ589840 FLM589840 FVI589840 GFE589840 GPA589840 GYW589840 HIS589840 HSO589840 ICK589840 IMG589840 IWC589840 JFY589840 JPU589840 JZQ589840 KJM589840 KTI589840 LDE589840 LNA589840 LWW589840 MGS589840 MQO589840 NAK589840 NKG589840 NUC589840 ODY589840 ONU589840 OXQ589840 PHM589840 PRI589840 QBE589840 QLA589840 QUW589840 RES589840 ROO589840 RYK589840 SIG589840 SSC589840 TBY589840 TLU589840 TVQ589840 UFM589840 UPI589840 UZE589840 VJA589840 VSW589840 WCS589840 WMO589840 WWK589840 AC655376 JY655376 TU655376 ADQ655376 ANM655376 AXI655376 BHE655376 BRA655376 CAW655376 CKS655376 CUO655376 DEK655376 DOG655376 DYC655376 EHY655376 ERU655376 FBQ655376 FLM655376 FVI655376 GFE655376 GPA655376 GYW655376 HIS655376 HSO655376 ICK655376 IMG655376 IWC655376 JFY655376 JPU655376 JZQ655376 KJM655376 KTI655376 LDE655376 LNA655376 LWW655376 MGS655376 MQO655376 NAK655376 NKG655376 NUC655376 ODY655376 ONU655376 OXQ655376 PHM655376 PRI655376 QBE655376 QLA655376 QUW655376 RES655376 ROO655376 RYK655376 SIG655376 SSC655376 TBY655376 TLU655376 TVQ655376 UFM655376 UPI655376 UZE655376 VJA655376 VSW655376 WCS655376 WMO655376 WWK655376 AC720912 JY720912 TU720912 ADQ720912 ANM720912 AXI720912 BHE720912 BRA720912 CAW720912 CKS720912 CUO720912 DEK720912 DOG720912 DYC720912 EHY720912 ERU720912 FBQ720912 FLM720912 FVI720912 GFE720912 GPA720912 GYW720912 HIS720912 HSO720912 ICK720912 IMG720912 IWC720912 JFY720912 JPU720912 JZQ720912 KJM720912 KTI720912 LDE720912 LNA720912 LWW720912 MGS720912 MQO720912 NAK720912 NKG720912 NUC720912 ODY720912 ONU720912 OXQ720912 PHM720912 PRI720912 QBE720912 QLA720912 QUW720912 RES720912 ROO720912 RYK720912 SIG720912 SSC720912 TBY720912 TLU720912 TVQ720912 UFM720912 UPI720912 UZE720912 VJA720912 VSW720912 WCS720912 WMO720912 WWK720912 AC786448 JY786448 TU786448 ADQ786448 ANM786448 AXI786448 BHE786448 BRA786448 CAW786448 CKS786448 CUO786448 DEK786448 DOG786448 DYC786448 EHY786448 ERU786448 FBQ786448 FLM786448 FVI786448 GFE786448 GPA786448 GYW786448 HIS786448 HSO786448 ICK786448 IMG786448 IWC786448 JFY786448 JPU786448 JZQ786448 KJM786448 KTI786448 LDE786448 LNA786448 LWW786448 MGS786448 MQO786448 NAK786448 NKG786448 NUC786448 ODY786448 ONU786448 OXQ786448 PHM786448 PRI786448 QBE786448 QLA786448 QUW786448 RES786448 ROO786448 RYK786448 SIG786448 SSC786448 TBY786448 TLU786448 TVQ786448 UFM786448 UPI786448 UZE786448 VJA786448 VSW786448 WCS786448 WMO786448 WWK786448 AC851984 JY851984 TU851984 ADQ851984 ANM851984 AXI851984 BHE851984 BRA851984 CAW851984 CKS851984 CUO851984 DEK851984 DOG851984 DYC851984 EHY851984 ERU851984 FBQ851984 FLM851984 FVI851984 GFE851984 GPA851984 GYW851984 HIS851984 HSO851984 ICK851984 IMG851984 IWC851984 JFY851984 JPU851984 JZQ851984 KJM851984 KTI851984 LDE851984 LNA851984 LWW851984 MGS851984 MQO851984 NAK851984 NKG851984 NUC851984 ODY851984 ONU851984 OXQ851984 PHM851984 PRI851984 QBE851984 QLA851984 QUW851984 RES851984 ROO851984 RYK851984 SIG851984 SSC851984 TBY851984 TLU851984 TVQ851984 UFM851984 UPI851984 UZE851984 VJA851984 VSW851984 WCS851984 WMO851984 WWK851984 AC917520 JY917520 TU917520 ADQ917520 ANM917520 AXI917520 BHE917520 BRA917520 CAW917520 CKS917520 CUO917520 DEK917520 DOG917520 DYC917520 EHY917520 ERU917520 FBQ917520 FLM917520 FVI917520 GFE917520 GPA917520 GYW917520 HIS917520 HSO917520 ICK917520 IMG917520 IWC917520 JFY917520 JPU917520 JZQ917520 KJM917520 KTI917520 LDE917520 LNA917520 LWW917520 MGS917520 MQO917520 NAK917520 NKG917520 NUC917520 ODY917520 ONU917520 OXQ917520 PHM917520 PRI917520 QBE917520 QLA917520 QUW917520 RES917520 ROO917520 RYK917520 SIG917520 SSC917520 TBY917520 TLU917520 TVQ917520 UFM917520 UPI917520 UZE917520 VJA917520 VSW917520 WCS917520 WMO917520 WWK917520 AC983056 JY983056 TU983056 ADQ983056 ANM983056 AXI983056 BHE983056 BRA983056 CAW983056 CKS983056 CUO983056 DEK983056 DOG983056 DYC983056 EHY983056 ERU983056 FBQ983056 FLM983056 FVI983056 GFE983056 GPA983056 GYW983056 HIS983056 HSO983056 ICK983056 IMG983056 IWC983056 JFY983056 JPU983056 JZQ983056 KJM983056 KTI983056 LDE983056 LNA983056 LWW983056 MGS983056 MQO983056 NAK983056 NKG983056 NUC983056 ODY983056 ONU983056 OXQ983056 PHM983056 PRI983056 QBE983056 QLA983056 QUW983056 RES983056 ROO983056 RYK983056 SIG983056 SSC983056 TBY983056 TLU983056 TVQ983056 UFM983056 UPI983056 UZE983056 VJA983056 VSW983056 WCS983056 WMO983056 WWK983056" xr:uid="{00000000-0002-0000-0F00-000000000000}">
      <formula1>0</formula1>
    </dataValidation>
  </dataValidations>
  <pageMargins left="0.75" right="0.75" top="1" bottom="1" header="0.5" footer="0.5"/>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I86"/>
  <sheetViews>
    <sheetView showGridLines="0" showZeros="0" zoomScale="80" zoomScaleNormal="80" zoomScalePageLayoutView="40" workbookViewId="0"/>
  </sheetViews>
  <sheetFormatPr defaultColWidth="7.109375" defaultRowHeight="12.75" x14ac:dyDescent="0.2"/>
  <cols>
    <col min="1" max="1" width="4.44140625" style="756" customWidth="1"/>
    <col min="2" max="2" width="7" style="756" customWidth="1"/>
    <col min="3" max="3" width="19.109375" style="756" customWidth="1"/>
    <col min="4" max="4" width="5.44140625" style="756" customWidth="1"/>
    <col min="5" max="5" width="6.33203125" style="756" customWidth="1"/>
    <col min="6" max="7" width="5.33203125" style="756" customWidth="1"/>
    <col min="8" max="8" width="6.33203125" style="756" customWidth="1"/>
    <col min="9" max="28" width="7.77734375" style="756" customWidth="1"/>
    <col min="29" max="29" width="7.109375" style="755" customWidth="1"/>
    <col min="30" max="30" width="7.109375" style="756" customWidth="1"/>
    <col min="31" max="31" width="6.33203125" style="756" customWidth="1"/>
    <col min="32" max="32" width="7.109375" style="756"/>
    <col min="33" max="33" width="10.77734375" style="756" customWidth="1"/>
    <col min="34" max="16384" width="7.109375" style="756"/>
  </cols>
  <sheetData>
    <row r="1" spans="1:35" s="751" customFormat="1" ht="20.100000000000001" customHeight="1" thickBot="1" x14ac:dyDescent="0.25">
      <c r="B1" s="752" t="s">
        <v>156</v>
      </c>
      <c r="C1" s="753" t="str">
        <f>'Purchase Order SCRAFT'!C1</f>
        <v>Cuba</v>
      </c>
      <c r="F1" s="752" t="s">
        <v>9</v>
      </c>
      <c r="G1" s="1464" t="str">
        <f>Dealer_Name</f>
        <v>CP Sunblinds Ltd</v>
      </c>
      <c r="H1" s="1465"/>
      <c r="I1" s="1465"/>
      <c r="J1" s="1466"/>
      <c r="L1" s="754" t="s">
        <v>78</v>
      </c>
      <c r="M1" s="1467" t="str">
        <f>Dealer_Order_no</f>
        <v>SO2302</v>
      </c>
      <c r="N1" s="1468"/>
      <c r="O1" s="1469"/>
      <c r="R1" s="754" t="s">
        <v>158</v>
      </c>
      <c r="S1" s="1470" t="str">
        <f>SC_Order_No</f>
        <v>SCR15111223</v>
      </c>
      <c r="T1" s="1471"/>
      <c r="U1" s="1471"/>
      <c r="V1" s="1471"/>
      <c r="W1" s="1471"/>
      <c r="X1" s="1472"/>
      <c r="Y1" s="1473" t="str">
        <f ca="1">IF(TODAY()&lt;40589,"This form is not valid until 15th Feb",UPPER(C1 &amp; " - " &amp; Form_Type))</f>
        <v>CUBA - OD</v>
      </c>
      <c r="Z1" s="1474"/>
      <c r="AA1" s="1474"/>
      <c r="AB1" s="1475"/>
    </row>
    <row r="2" spans="1:35" ht="6.75" customHeight="1" thickBot="1" x14ac:dyDescent="0.25">
      <c r="A2" s="755"/>
      <c r="C2" s="757"/>
      <c r="E2" s="755"/>
      <c r="F2" s="755"/>
      <c r="G2" s="755"/>
      <c r="H2" s="755"/>
      <c r="I2" s="755"/>
      <c r="J2" s="755"/>
      <c r="L2" s="758"/>
      <c r="M2" s="759"/>
      <c r="N2" s="759"/>
      <c r="O2" s="759"/>
      <c r="P2" s="760"/>
      <c r="Q2" s="760"/>
      <c r="R2" s="760"/>
      <c r="S2" s="760"/>
      <c r="T2" s="760"/>
      <c r="U2" s="760"/>
      <c r="V2" s="760"/>
      <c r="W2" s="760"/>
      <c r="X2" s="761"/>
      <c r="Y2" s="1476"/>
      <c r="Z2" s="1477"/>
      <c r="AA2" s="1477"/>
      <c r="AB2" s="1478"/>
      <c r="AC2" s="756"/>
    </row>
    <row r="3" spans="1:35" ht="18.75" customHeight="1" thickBot="1" x14ac:dyDescent="0.25">
      <c r="B3" s="752" t="s">
        <v>157</v>
      </c>
      <c r="C3" s="753" t="str">
        <f>'Purchase Order SCRAFT'!C3</f>
        <v>Panels &amp; Frame (OD)</v>
      </c>
      <c r="F3" s="752" t="s">
        <v>159</v>
      </c>
      <c r="G3" s="1464" t="str">
        <f>SC_ACno</f>
        <v>CPSUN</v>
      </c>
      <c r="H3" s="1465"/>
      <c r="I3" s="1465"/>
      <c r="J3" s="1466"/>
      <c r="L3" s="762" t="s">
        <v>51</v>
      </c>
      <c r="M3" s="1482" t="str">
        <f>Customer_name</f>
        <v xml:space="preserve">Curwood </v>
      </c>
      <c r="N3" s="1483"/>
      <c r="O3" s="1484"/>
      <c r="P3" s="755"/>
      <c r="Q3" s="755"/>
      <c r="R3" s="754" t="s">
        <v>160</v>
      </c>
      <c r="S3" s="1470">
        <f>Order_Date</f>
        <v>42020</v>
      </c>
      <c r="T3" s="1471"/>
      <c r="U3" s="1471"/>
      <c r="V3" s="1471"/>
      <c r="W3" s="1471"/>
      <c r="X3" s="1472"/>
      <c r="Y3" s="1479"/>
      <c r="Z3" s="1480"/>
      <c r="AA3" s="1480"/>
      <c r="AB3" s="1481"/>
      <c r="AC3" s="756"/>
    </row>
    <row r="4" spans="1:35" ht="5.25" customHeight="1" thickBot="1" x14ac:dyDescent="0.25">
      <c r="A4" s="763"/>
      <c r="B4" s="764"/>
      <c r="C4" s="764"/>
      <c r="D4" s="764"/>
      <c r="E4" s="765"/>
      <c r="F4" s="755"/>
      <c r="G4" s="766"/>
      <c r="H4" s="760"/>
      <c r="I4" s="760"/>
      <c r="J4" s="760"/>
      <c r="K4" s="767"/>
      <c r="L4" s="767"/>
      <c r="M4" s="768"/>
      <c r="N4" s="768"/>
      <c r="O4" s="768"/>
      <c r="P4" s="768"/>
      <c r="Q4" s="768"/>
      <c r="R4" s="768"/>
      <c r="S4" s="769"/>
      <c r="T4" s="769"/>
      <c r="U4" s="769"/>
      <c r="V4" s="769"/>
      <c r="W4" s="769"/>
      <c r="X4" s="761"/>
      <c r="Y4" s="770"/>
      <c r="Z4" s="760"/>
      <c r="AA4" s="760"/>
      <c r="AB4" s="760"/>
      <c r="AC4" s="756"/>
    </row>
    <row r="5" spans="1:35" ht="15.95" customHeight="1" thickBot="1" x14ac:dyDescent="0.3">
      <c r="A5" s="1485" t="s">
        <v>161</v>
      </c>
      <c r="B5" s="1486"/>
      <c r="C5" s="771" t="str">
        <f>IF(ISNA(Total_Value),"Order not fully priced","")</f>
        <v/>
      </c>
      <c r="D5" s="772"/>
      <c r="E5" s="772"/>
      <c r="F5" s="920"/>
      <c r="G5" s="921" t="s">
        <v>10</v>
      </c>
      <c r="H5" s="1487">
        <f>Discount</f>
        <v>0.375</v>
      </c>
      <c r="I5" s="1457"/>
      <c r="J5" s="773"/>
      <c r="K5" s="772"/>
      <c r="L5" s="762" t="s">
        <v>431</v>
      </c>
      <c r="M5" s="772"/>
      <c r="N5" s="772"/>
      <c r="O5" s="772"/>
      <c r="P5" s="772"/>
      <c r="Q5" s="772"/>
      <c r="R5" s="772"/>
      <c r="S5" s="755"/>
      <c r="T5" s="755"/>
      <c r="U5" s="755"/>
      <c r="V5" s="755"/>
      <c r="W5" s="755"/>
      <c r="X5" s="760"/>
      <c r="Z5" s="774" t="s">
        <v>188</v>
      </c>
      <c r="AA5" s="775" t="str">
        <f>Version</f>
        <v>vQ1</v>
      </c>
      <c r="AB5" s="776"/>
      <c r="AC5" s="756"/>
    </row>
    <row r="6" spans="1:35" ht="33" customHeight="1" thickBot="1" x14ac:dyDescent="0.25">
      <c r="A6" s="911" t="s">
        <v>7</v>
      </c>
      <c r="B6" s="912" t="s">
        <v>0</v>
      </c>
      <c r="C6" s="913" t="s">
        <v>63</v>
      </c>
      <c r="D6" s="914" t="s">
        <v>8</v>
      </c>
      <c r="E6" s="913" t="str">
        <f>IF(prefix="ss_",IF(RIGHT(C1,1)="x","Type",""),"Config")</f>
        <v>Config</v>
      </c>
      <c r="F6" s="915" t="s">
        <v>29</v>
      </c>
      <c r="G6" s="915" t="s">
        <v>30</v>
      </c>
      <c r="H6" s="915" t="s">
        <v>607</v>
      </c>
      <c r="I6" s="913" t="str">
        <f>IF(prefix="ss_","N/A","Mid 1")</f>
        <v>Mid 1</v>
      </c>
      <c r="J6" s="913" t="str">
        <f>IF(prefix="ss_","N/A","Mid 2")</f>
        <v>Mid 2</v>
      </c>
      <c r="K6" s="913" t="s">
        <v>608</v>
      </c>
      <c r="L6" s="913" t="s">
        <v>609</v>
      </c>
      <c r="M6" s="1451" t="str">
        <f>IF(Form_Type="Frame","N/A","Louvre")</f>
        <v>Louvre</v>
      </c>
      <c r="N6" s="1452"/>
      <c r="O6" s="916" t="str">
        <f>IF(Form_Type="Frame","N/A","Tilt Rod")</f>
        <v>Tilt Rod</v>
      </c>
      <c r="P6" s="1142" t="str">
        <f>IF(Form_Type="Frame","N/A","Split Tilt")</f>
        <v>Split Tilt</v>
      </c>
      <c r="Q6" s="1451" t="s">
        <v>474</v>
      </c>
      <c r="R6" s="1452"/>
      <c r="S6" s="913"/>
      <c r="T6" s="917" t="str">
        <f>IF(Form_Type="OP","N/A","Sides                      T    B    L    R  ")</f>
        <v xml:space="preserve">Sides                      T    B    L    R  </v>
      </c>
      <c r="U6" s="918" t="str">
        <f>IF(Form_Type="OP","N/A","Sill Plates                       T   B   L   R  ")</f>
        <v xml:space="preserve">Sill Plates                       T   B   L   R  </v>
      </c>
      <c r="V6" s="1453" t="str">
        <f>IF(Form_Type="Frame","N/A","Stile Type")</f>
        <v>Stile Type</v>
      </c>
      <c r="W6" s="1386"/>
      <c r="X6" s="916" t="s">
        <v>25</v>
      </c>
      <c r="Y6" s="919" t="str">
        <f>IF(Form_Type="EX",IF(wood_type="CedarWood","Laths Type","N/A"),"Spare Louvres")</f>
        <v>Spare Louvres</v>
      </c>
      <c r="Z6" s="1454" t="str">
        <f>IF(Form_Type="EX","Panel Colour","Panel &amp; Frame Colour")</f>
        <v>Panel &amp; Frame Colour</v>
      </c>
      <c r="AA6" s="1455"/>
      <c r="AB6" s="1455"/>
      <c r="AC6" s="1451" t="str">
        <f>IF(Form_Type="OP","N/A",IF(Form_Type="EX","Notch Underneath","Hardware"))</f>
        <v>Hardware</v>
      </c>
      <c r="AD6" s="1456" t="str">
        <f>IF(Form_Type="OP","N/A",IF(Form_Type="EX","Notch Undern","2nd"))</f>
        <v>2nd</v>
      </c>
      <c r="AE6" s="1454" t="s">
        <v>376</v>
      </c>
      <c r="AF6" s="1456"/>
      <c r="AG6" s="1456"/>
      <c r="AH6" s="1457"/>
    </row>
    <row r="7" spans="1:35" s="751" customFormat="1" ht="15.95" customHeight="1" x14ac:dyDescent="0.2">
      <c r="A7" s="777">
        <v>1</v>
      </c>
      <c r="B7" s="779" t="str">
        <f>'Purchase Order SCRAFT'!B7</f>
        <v xml:space="preserve">Bed 2 </v>
      </c>
      <c r="C7" s="779" t="str">
        <f>'Purchase Order SCRAFT'!C7</f>
        <v>Full height</v>
      </c>
      <c r="D7" s="780">
        <f>'Purchase Order SCRAFT'!D7</f>
        <v>1</v>
      </c>
      <c r="E7" s="780" t="str">
        <f>'Purchase Order SCRAFT'!E7</f>
        <v>LLRR</v>
      </c>
      <c r="F7" s="780">
        <f>'Purchase Order SCRAFT'!F7</f>
        <v>1623</v>
      </c>
      <c r="G7" s="780">
        <f>'Purchase Order SCRAFT'!G7</f>
        <v>990</v>
      </c>
      <c r="H7" s="780">
        <f>'Purchase Order SCRAFT'!H7</f>
        <v>0</v>
      </c>
      <c r="I7" s="781">
        <f>'Purchase Order SCRAFT'!I7</f>
        <v>0</v>
      </c>
      <c r="J7" s="782">
        <f>'Purchase Order SCRAFT'!J7</f>
        <v>0</v>
      </c>
      <c r="K7" s="783"/>
      <c r="L7" s="783">
        <f>'Purchase Order SCRAFT'!L7</f>
        <v>0</v>
      </c>
      <c r="M7" s="1458" t="str">
        <f>'Purchase Order SCRAFT'!M7</f>
        <v>63mm</v>
      </c>
      <c r="N7" s="1459">
        <f>'Purchase Order SCRAFT'!N7</f>
        <v>0</v>
      </c>
      <c r="O7" s="784" t="str">
        <f>'Purchase Order SCRAFT'!O7</f>
        <v>Centre</v>
      </c>
      <c r="P7" s="1143">
        <f>'Purchase Order SCRAFT'!P7</f>
        <v>0</v>
      </c>
      <c r="Q7" s="1458" t="str">
        <f>'Purchase Order SCRAFT'!Q7</f>
        <v>Beaded L 60mm</v>
      </c>
      <c r="R7" s="1459">
        <f>'Purchase Order SCRAFT'!R7</f>
        <v>0</v>
      </c>
      <c r="S7" s="785"/>
      <c r="T7" s="786"/>
      <c r="U7" s="787"/>
      <c r="V7" s="1460" t="str">
        <f>'Purchase Order SCRAFT'!V7</f>
        <v>D Mould 41mm</v>
      </c>
      <c r="W7" s="1459">
        <f>'Purchase Order SCRAFT'!W7</f>
        <v>0</v>
      </c>
      <c r="X7" s="747">
        <f>'Purchase Order SCRAFT'!X7</f>
        <v>4</v>
      </c>
      <c r="Y7" s="788">
        <f>'Purchase Order SCRAFT'!Y7</f>
        <v>0</v>
      </c>
      <c r="Z7" s="1461" t="str">
        <f>'Purchase Order SCRAFT'!Z7</f>
        <v>003-Silk White</v>
      </c>
      <c r="AA7" s="1462">
        <f>'Purchase Order SCRAFT'!AA7</f>
        <v>0</v>
      </c>
      <c r="AB7" s="1463">
        <f>'Purchase Order SCRAFT'!AB7</f>
        <v>0</v>
      </c>
      <c r="AC7" s="1415" t="str">
        <f>'Purchase Order SCRAFT'!AC7</f>
        <v>White</v>
      </c>
      <c r="AD7" s="1416">
        <f>'Purchase Order SCRAFT'!AD7</f>
        <v>0</v>
      </c>
      <c r="AE7" s="1415">
        <f>'Purchase Order SCRAFT'!AE7</f>
        <v>0</v>
      </c>
      <c r="AF7" s="1460">
        <f>'Purchase Order SCRAFT'!AF7</f>
        <v>0</v>
      </c>
      <c r="AG7" s="1460">
        <f>'Purchase Order SCRAFT'!AG7</f>
        <v>0</v>
      </c>
      <c r="AH7" s="1416">
        <f>'Purchase Order SCRAFT'!AH7</f>
        <v>0</v>
      </c>
      <c r="AI7" s="789" t="b">
        <f>'Purchase Order SCRAFT'!AI7</f>
        <v>0</v>
      </c>
    </row>
    <row r="8" spans="1:35" s="751" customFormat="1" ht="15.95" customHeight="1" x14ac:dyDescent="0.2">
      <c r="A8" s="790">
        <v>2</v>
      </c>
      <c r="B8" s="791" t="str">
        <f>'Purchase Order SCRAFT'!B8</f>
        <v>Bed1</v>
      </c>
      <c r="C8" s="792" t="str">
        <f>'Purchase Order SCRAFT'!C8</f>
        <v>Full height</v>
      </c>
      <c r="D8" s="793">
        <f>'Purchase Order SCRAFT'!D8</f>
        <v>1</v>
      </c>
      <c r="E8" s="794" t="str">
        <f>'Purchase Order SCRAFT'!E8</f>
        <v>LTLLRRTR</v>
      </c>
      <c r="F8" s="793">
        <f>'Purchase Order SCRAFT'!F8</f>
        <v>2770</v>
      </c>
      <c r="G8" s="793">
        <f>'Purchase Order SCRAFT'!G8</f>
        <v>1005</v>
      </c>
      <c r="H8" s="748">
        <f>'Purchase Order SCRAFT'!H8</f>
        <v>0</v>
      </c>
      <c r="I8" s="748">
        <f>'Purchase Order SCRAFT'!I8</f>
        <v>0</v>
      </c>
      <c r="J8" s="793">
        <f>'Purchase Order SCRAFT'!J8</f>
        <v>0</v>
      </c>
      <c r="K8" s="793"/>
      <c r="L8" s="793">
        <f>'Purchase Order SCRAFT'!L8</f>
        <v>0</v>
      </c>
      <c r="M8" s="1430" t="str">
        <f>'Purchase Order SCRAFT'!M8</f>
        <v>63mm</v>
      </c>
      <c r="N8" s="1431">
        <f>'Purchase Order SCRAFT'!N8</f>
        <v>0</v>
      </c>
      <c r="O8" s="795" t="str">
        <f>'Purchase Order SCRAFT'!O8</f>
        <v>Centre</v>
      </c>
      <c r="P8" s="1144">
        <f>'Purchase Order SCRAFT'!P8</f>
        <v>0</v>
      </c>
      <c r="Q8" s="1430" t="str">
        <f>'Purchase Order SCRAFT'!Q8</f>
        <v>Beaded L 60mm</v>
      </c>
      <c r="R8" s="1431">
        <f>'Purchase Order SCRAFT'!R8</f>
        <v>0</v>
      </c>
      <c r="S8" s="796"/>
      <c r="T8" s="797"/>
      <c r="U8" s="798"/>
      <c r="V8" s="1432" t="str">
        <f>'Purchase Order SCRAFT'!V8</f>
        <v>D Mould 41mm</v>
      </c>
      <c r="W8" s="1431">
        <f>'Purchase Order SCRAFT'!W8</f>
        <v>0</v>
      </c>
      <c r="X8" s="748">
        <f>'Purchase Order SCRAFT'!X8</f>
        <v>6</v>
      </c>
      <c r="Y8" s="799">
        <f>'Purchase Order SCRAFT'!Y8</f>
        <v>0</v>
      </c>
      <c r="Z8" s="1433" t="str">
        <f>'Purchase Order SCRAFT'!Z8</f>
        <v>003-Silk White</v>
      </c>
      <c r="AA8" s="1434">
        <f>'Purchase Order SCRAFT'!AA8</f>
        <v>0</v>
      </c>
      <c r="AB8" s="1435">
        <f>'Purchase Order SCRAFT'!AB8</f>
        <v>0</v>
      </c>
      <c r="AC8" s="1397" t="str">
        <f>'Purchase Order SCRAFT'!AC8</f>
        <v>White</v>
      </c>
      <c r="AD8" s="1398">
        <f>'Purchase Order SCRAFT'!AD8</f>
        <v>0</v>
      </c>
      <c r="AE8" s="1397">
        <f>'Purchase Order SCRAFT'!AE8</f>
        <v>0</v>
      </c>
      <c r="AF8" s="1436">
        <f>'Purchase Order SCRAFT'!AF8</f>
        <v>0</v>
      </c>
      <c r="AG8" s="1436">
        <f>'Purchase Order SCRAFT'!AG8</f>
        <v>0</v>
      </c>
      <c r="AH8" s="1398">
        <f>'Purchase Order SCRAFT'!AH8</f>
        <v>0</v>
      </c>
      <c r="AI8" s="789">
        <f>'Purchase Order SCRAFT'!AI8</f>
        <v>0</v>
      </c>
    </row>
    <row r="9" spans="1:35" s="751" customFormat="1" ht="15.95" customHeight="1" x14ac:dyDescent="0.2">
      <c r="A9" s="800">
        <v>3</v>
      </c>
      <c r="B9" s="801" t="str">
        <f>'Purchase Order SCRAFT'!B9</f>
        <v xml:space="preserve">Dressing Room </v>
      </c>
      <c r="C9" s="802" t="str">
        <f>'Purchase Order SCRAFT'!C9</f>
        <v>Full height</v>
      </c>
      <c r="D9" s="803">
        <f>'Purchase Order SCRAFT'!D9</f>
        <v>1</v>
      </c>
      <c r="E9" s="804" t="str">
        <f>'Purchase Order SCRAFT'!E9</f>
        <v>LLRR</v>
      </c>
      <c r="F9" s="803">
        <f>'Purchase Order SCRAFT'!F9</f>
        <v>1675</v>
      </c>
      <c r="G9" s="803">
        <f>'Purchase Order SCRAFT'!G9</f>
        <v>1018</v>
      </c>
      <c r="H9" s="805">
        <f>'Purchase Order SCRAFT'!H9</f>
        <v>0</v>
      </c>
      <c r="I9" s="806">
        <f>'Purchase Order SCRAFT'!I9</f>
        <v>0</v>
      </c>
      <c r="J9" s="807">
        <f>'Purchase Order SCRAFT'!J9</f>
        <v>0</v>
      </c>
      <c r="K9" s="807"/>
      <c r="L9" s="807">
        <f>'Purchase Order SCRAFT'!L9</f>
        <v>0</v>
      </c>
      <c r="M9" s="1437" t="str">
        <f>'Purchase Order SCRAFT'!M9</f>
        <v>63mm</v>
      </c>
      <c r="N9" s="1438">
        <f>'Purchase Order SCRAFT'!N9</f>
        <v>0</v>
      </c>
      <c r="O9" s="749" t="str">
        <f>'Purchase Order SCRAFT'!O9</f>
        <v>Centre</v>
      </c>
      <c r="P9" s="1145">
        <f>'Purchase Order SCRAFT'!P9</f>
        <v>0</v>
      </c>
      <c r="Q9" s="1437" t="str">
        <f>'Purchase Order SCRAFT'!Q9</f>
        <v>Beaded L 46mm</v>
      </c>
      <c r="R9" s="1438">
        <f>'Purchase Order SCRAFT'!R9</f>
        <v>0</v>
      </c>
      <c r="S9" s="809"/>
      <c r="T9" s="810"/>
      <c r="U9" s="811"/>
      <c r="V9" s="1439" t="str">
        <f>'Purchase Order SCRAFT'!V9</f>
        <v>D Mould 41mm</v>
      </c>
      <c r="W9" s="1438">
        <f>'Purchase Order SCRAFT'!W9</f>
        <v>0</v>
      </c>
      <c r="X9" s="749">
        <f>'Purchase Order SCRAFT'!X9</f>
        <v>4</v>
      </c>
      <c r="Y9" s="812">
        <f>'Purchase Order SCRAFT'!Y9</f>
        <v>0</v>
      </c>
      <c r="Z9" s="1440" t="str">
        <f>'Purchase Order SCRAFT'!Z9</f>
        <v>003-Silk White</v>
      </c>
      <c r="AA9" s="1441">
        <f>'Purchase Order SCRAFT'!AA9</f>
        <v>0</v>
      </c>
      <c r="AB9" s="1442">
        <f>'Purchase Order SCRAFT'!AB9</f>
        <v>0</v>
      </c>
      <c r="AC9" s="1443" t="str">
        <f>'Purchase Order SCRAFT'!AC9</f>
        <v>White</v>
      </c>
      <c r="AD9" s="1444">
        <f>'Purchase Order SCRAFT'!AD9</f>
        <v>0</v>
      </c>
      <c r="AE9" s="1392">
        <f>'Purchase Order SCRAFT'!AE9</f>
        <v>0</v>
      </c>
      <c r="AF9" s="1439">
        <f>'Purchase Order SCRAFT'!AF9</f>
        <v>0</v>
      </c>
      <c r="AG9" s="1439">
        <f>'Purchase Order SCRAFT'!AG9</f>
        <v>0</v>
      </c>
      <c r="AH9" s="1393">
        <f>'Purchase Order SCRAFT'!AH9</f>
        <v>0</v>
      </c>
      <c r="AI9" s="789">
        <f>'Purchase Order SCRAFT'!AI9</f>
        <v>0</v>
      </c>
    </row>
    <row r="10" spans="1:35" s="751" customFormat="1" ht="15.95" customHeight="1" x14ac:dyDescent="0.2">
      <c r="A10" s="790">
        <v>4</v>
      </c>
      <c r="B10" s="791" t="str">
        <f>'Purchase Order SCRAFT'!B10</f>
        <v xml:space="preserve">Front Door Panels </v>
      </c>
      <c r="C10" s="792" t="str">
        <f>'Purchase Order SCRAFT'!C10</f>
        <v>Full height</v>
      </c>
      <c r="D10" s="793">
        <f>'Purchase Order SCRAFT'!D10</f>
        <v>1</v>
      </c>
      <c r="E10" s="794" t="str">
        <f>'Purchase Order SCRAFT'!E10</f>
        <v>L</v>
      </c>
      <c r="F10" s="793">
        <f>'Purchase Order SCRAFT'!F10</f>
        <v>400</v>
      </c>
      <c r="G10" s="793">
        <f>'Purchase Order SCRAFT'!G10</f>
        <v>1130</v>
      </c>
      <c r="H10" s="748">
        <f>'Purchase Order SCRAFT'!H10</f>
        <v>0</v>
      </c>
      <c r="I10" s="748">
        <f>'Purchase Order SCRAFT'!I10</f>
        <v>0</v>
      </c>
      <c r="J10" s="793">
        <f>'Purchase Order SCRAFT'!J10</f>
        <v>0</v>
      </c>
      <c r="K10" s="793"/>
      <c r="L10" s="793">
        <f>'Purchase Order SCRAFT'!L10</f>
        <v>0</v>
      </c>
      <c r="M10" s="1430" t="str">
        <f>'Purchase Order SCRAFT'!M10</f>
        <v>63mm</v>
      </c>
      <c r="N10" s="1431">
        <f>'Purchase Order SCRAFT'!N10</f>
        <v>0</v>
      </c>
      <c r="O10" s="795" t="str">
        <f>'Purchase Order SCRAFT'!O10</f>
        <v>Centre</v>
      </c>
      <c r="P10" s="1144">
        <f>'Purchase Order SCRAFT'!P10</f>
        <v>0</v>
      </c>
      <c r="Q10" s="1430" t="str">
        <f>'Purchase Order SCRAFT'!Q10</f>
        <v>Beaded L 46mm</v>
      </c>
      <c r="R10" s="1431">
        <f>'Purchase Order SCRAFT'!R10</f>
        <v>0</v>
      </c>
      <c r="S10" s="796"/>
      <c r="T10" s="797"/>
      <c r="U10" s="798"/>
      <c r="V10" s="1432" t="str">
        <f>'Purchase Order SCRAFT'!V10</f>
        <v>Butt 41mm</v>
      </c>
      <c r="W10" s="1431">
        <f>'Purchase Order SCRAFT'!W10</f>
        <v>0</v>
      </c>
      <c r="X10" s="748">
        <f>'Purchase Order SCRAFT'!X10</f>
        <v>1</v>
      </c>
      <c r="Y10" s="799">
        <f>'Purchase Order SCRAFT'!Y10</f>
        <v>0</v>
      </c>
      <c r="Z10" s="1433" t="str">
        <f>'Purchase Order SCRAFT'!Z10</f>
        <v>003-Silk White</v>
      </c>
      <c r="AA10" s="1434">
        <f>'Purchase Order SCRAFT'!AA10</f>
        <v>0</v>
      </c>
      <c r="AB10" s="1435">
        <f>'Purchase Order SCRAFT'!AB10</f>
        <v>0</v>
      </c>
      <c r="AC10" s="1397" t="str">
        <f>'Purchase Order SCRAFT'!AC10</f>
        <v>White</v>
      </c>
      <c r="AD10" s="1398">
        <f>'Purchase Order SCRAFT'!AD10</f>
        <v>0</v>
      </c>
      <c r="AE10" s="1397">
        <f>'Purchase Order SCRAFT'!AE10</f>
        <v>0</v>
      </c>
      <c r="AF10" s="1436">
        <f>'Purchase Order SCRAFT'!AF10</f>
        <v>0</v>
      </c>
      <c r="AG10" s="1436">
        <f>'Purchase Order SCRAFT'!AG10</f>
        <v>0</v>
      </c>
      <c r="AH10" s="1398">
        <f>'Purchase Order SCRAFT'!AH10</f>
        <v>0</v>
      </c>
      <c r="AI10" s="789">
        <f>'Purchase Order SCRAFT'!AI10</f>
        <v>0</v>
      </c>
    </row>
    <row r="11" spans="1:35" s="751" customFormat="1" ht="15.95" customHeight="1" x14ac:dyDescent="0.2">
      <c r="A11" s="813">
        <v>5</v>
      </c>
      <c r="B11" s="814" t="str">
        <f>'Purchase Order SCRAFT'!B11</f>
        <v xml:space="preserve">Front Door Panels </v>
      </c>
      <c r="C11" s="815" t="str">
        <f>'Purchase Order SCRAFT'!C11</f>
        <v>Full height</v>
      </c>
      <c r="D11" s="816">
        <f>'Purchase Order SCRAFT'!D11</f>
        <v>1</v>
      </c>
      <c r="E11" s="816" t="str">
        <f>'Purchase Order SCRAFT'!E11</f>
        <v>R</v>
      </c>
      <c r="F11" s="816">
        <f>'Purchase Order SCRAFT'!F11</f>
        <v>400</v>
      </c>
      <c r="G11" s="816">
        <f>'Purchase Order SCRAFT'!G11</f>
        <v>1130</v>
      </c>
      <c r="H11" s="785">
        <f>'Purchase Order SCRAFT'!H11</f>
        <v>0</v>
      </c>
      <c r="I11" s="781">
        <f>'Purchase Order SCRAFT'!I11</f>
        <v>0</v>
      </c>
      <c r="J11" s="783">
        <f>'Purchase Order SCRAFT'!J11</f>
        <v>0</v>
      </c>
      <c r="K11" s="783"/>
      <c r="L11" s="783">
        <f>'Purchase Order SCRAFT'!L11</f>
        <v>0</v>
      </c>
      <c r="M11" s="1445" t="str">
        <f>'Purchase Order SCRAFT'!M11</f>
        <v>63mm</v>
      </c>
      <c r="N11" s="1446">
        <f>'Purchase Order SCRAFT'!N11</f>
        <v>0</v>
      </c>
      <c r="O11" s="747" t="str">
        <f>'Purchase Order SCRAFT'!O11</f>
        <v>Centre</v>
      </c>
      <c r="P11" s="1146">
        <f>'Purchase Order SCRAFT'!P11</f>
        <v>0</v>
      </c>
      <c r="Q11" s="1445" t="str">
        <f>'Purchase Order SCRAFT'!Q11</f>
        <v>Beaded L 46mm</v>
      </c>
      <c r="R11" s="1446">
        <f>'Purchase Order SCRAFT'!R11</f>
        <v>0</v>
      </c>
      <c r="S11" s="785"/>
      <c r="T11" s="817"/>
      <c r="U11" s="818"/>
      <c r="V11" s="1447" t="str">
        <f>'Purchase Order SCRAFT'!V11</f>
        <v>Butt 41mm</v>
      </c>
      <c r="W11" s="1446">
        <f>'Purchase Order SCRAFT'!W11</f>
        <v>0</v>
      </c>
      <c r="X11" s="747">
        <f>'Purchase Order SCRAFT'!X11</f>
        <v>1</v>
      </c>
      <c r="Y11" s="819">
        <f>'Purchase Order SCRAFT'!Y11</f>
        <v>0</v>
      </c>
      <c r="Z11" s="1448" t="str">
        <f>'Purchase Order SCRAFT'!Z11</f>
        <v>003-Silk White</v>
      </c>
      <c r="AA11" s="1449">
        <f>'Purchase Order SCRAFT'!AA11</f>
        <v>0</v>
      </c>
      <c r="AB11" s="1450">
        <f>'Purchase Order SCRAFT'!AB11</f>
        <v>0</v>
      </c>
      <c r="AC11" s="1405" t="str">
        <f>'Purchase Order SCRAFT'!AC11</f>
        <v>White</v>
      </c>
      <c r="AD11" s="1406">
        <f>'Purchase Order SCRAFT'!AD11</f>
        <v>0</v>
      </c>
      <c r="AE11" s="1405">
        <f>'Purchase Order SCRAFT'!AE11</f>
        <v>0</v>
      </c>
      <c r="AF11" s="1447">
        <f>'Purchase Order SCRAFT'!AF11</f>
        <v>0</v>
      </c>
      <c r="AG11" s="1447">
        <f>'Purchase Order SCRAFT'!AG11</f>
        <v>0</v>
      </c>
      <c r="AH11" s="1406">
        <f>'Purchase Order SCRAFT'!AH11</f>
        <v>0</v>
      </c>
      <c r="AI11" s="789">
        <f>'Purchase Order SCRAFT'!AI11</f>
        <v>0</v>
      </c>
    </row>
    <row r="12" spans="1:35" s="751" customFormat="1" ht="15.95" customHeight="1" x14ac:dyDescent="0.2">
      <c r="A12" s="790">
        <v>6</v>
      </c>
      <c r="B12" s="791" t="str">
        <f>'Purchase Order SCRAFT'!B12</f>
        <v>Study</v>
      </c>
      <c r="C12" s="792" t="str">
        <f>'Purchase Order SCRAFT'!C12</f>
        <v>Track bi-fold (Outside)</v>
      </c>
      <c r="D12" s="793">
        <f>'Purchase Order SCRAFT'!D12</f>
        <v>1</v>
      </c>
      <c r="E12" s="794" t="str">
        <f>'Purchase Order SCRAFT'!E12</f>
        <v>RRRR</v>
      </c>
      <c r="F12" s="793">
        <f>'Purchase Order SCRAFT'!F12</f>
        <v>1880</v>
      </c>
      <c r="G12" s="793">
        <f>'Purchase Order SCRAFT'!G12</f>
        <v>2100</v>
      </c>
      <c r="H12" s="748">
        <f>'Purchase Order SCRAFT'!H12</f>
        <v>0</v>
      </c>
      <c r="I12" s="748" t="str">
        <f>'Purchase Order SCRAFT'!I12</f>
        <v>centre</v>
      </c>
      <c r="J12" s="793">
        <f>'Purchase Order SCRAFT'!J12</f>
        <v>0</v>
      </c>
      <c r="K12" s="793"/>
      <c r="L12" s="793">
        <f>'Purchase Order SCRAFT'!L12</f>
        <v>0</v>
      </c>
      <c r="M12" s="1430" t="str">
        <f>'Purchase Order SCRAFT'!M12</f>
        <v>63mm</v>
      </c>
      <c r="N12" s="1431">
        <f>'Purchase Order SCRAFT'!N12</f>
        <v>0</v>
      </c>
      <c r="O12" s="795" t="str">
        <f>'Purchase Order SCRAFT'!O12</f>
        <v>Centre</v>
      </c>
      <c r="P12" s="1144">
        <f>'Purchase Order SCRAFT'!P12</f>
        <v>0</v>
      </c>
      <c r="Q12" s="1430" t="str">
        <f>'Purchase Order SCRAFT'!Q12</f>
        <v>89mm Track top &amp; sides</v>
      </c>
      <c r="R12" s="1431">
        <f>'Purchase Order SCRAFT'!R12</f>
        <v>0</v>
      </c>
      <c r="S12" s="796"/>
      <c r="T12" s="797"/>
      <c r="U12" s="798"/>
      <c r="V12" s="1432" t="str">
        <f>'Purchase Order SCRAFT'!V12</f>
        <v>Butt 41mm</v>
      </c>
      <c r="W12" s="1431">
        <f>'Purchase Order SCRAFT'!W12</f>
        <v>0</v>
      </c>
      <c r="X12" s="748">
        <f>'Purchase Order SCRAFT'!X12</f>
        <v>4</v>
      </c>
      <c r="Y12" s="799">
        <f>'Purchase Order SCRAFT'!Y12</f>
        <v>0</v>
      </c>
      <c r="Z12" s="1433" t="str">
        <f>'Purchase Order SCRAFT'!Z12</f>
        <v>003-Silk White</v>
      </c>
      <c r="AA12" s="1434">
        <f>'Purchase Order SCRAFT'!AA12</f>
        <v>0</v>
      </c>
      <c r="AB12" s="1435">
        <f>'Purchase Order SCRAFT'!AB12</f>
        <v>0</v>
      </c>
      <c r="AC12" s="1397" t="str">
        <f>'Purchase Order SCRAFT'!AC12</f>
        <v>White</v>
      </c>
      <c r="AD12" s="1398">
        <f>'Purchase Order SCRAFT'!AD12</f>
        <v>0</v>
      </c>
      <c r="AE12" s="1397">
        <f>'Purchase Order SCRAFT'!AE12</f>
        <v>0</v>
      </c>
      <c r="AF12" s="1436">
        <f>'Purchase Order SCRAFT'!AF12</f>
        <v>0</v>
      </c>
      <c r="AG12" s="1436">
        <f>'Purchase Order SCRAFT'!AG12</f>
        <v>0</v>
      </c>
      <c r="AH12" s="1398">
        <f>'Purchase Order SCRAFT'!AH12</f>
        <v>0</v>
      </c>
      <c r="AI12" s="789">
        <f>'Purchase Order SCRAFT'!AI12</f>
        <v>0</v>
      </c>
    </row>
    <row r="13" spans="1:35" s="751" customFormat="1" ht="15.95" customHeight="1" x14ac:dyDescent="0.2">
      <c r="A13" s="800">
        <v>7</v>
      </c>
      <c r="B13" s="801" t="str">
        <f>'Purchase Order SCRAFT'!B13</f>
        <v>Study</v>
      </c>
      <c r="C13" s="802" t="str">
        <f>'Purchase Order SCRAFT'!C13</f>
        <v>Track bi-fold (Outside)</v>
      </c>
      <c r="D13" s="803">
        <f>'Purchase Order SCRAFT'!D13</f>
        <v>1</v>
      </c>
      <c r="E13" s="804" t="str">
        <f>'Purchase Order SCRAFT'!E13</f>
        <v>LLLLLL</v>
      </c>
      <c r="F13" s="803">
        <f>'Purchase Order SCRAFT'!F13</f>
        <v>2600</v>
      </c>
      <c r="G13" s="803">
        <f>'Purchase Order SCRAFT'!G13</f>
        <v>2100</v>
      </c>
      <c r="H13" s="805">
        <f>'Purchase Order SCRAFT'!H13</f>
        <v>0</v>
      </c>
      <c r="I13" s="806" t="str">
        <f>'Purchase Order SCRAFT'!I13</f>
        <v>centre</v>
      </c>
      <c r="J13" s="807">
        <f>'Purchase Order SCRAFT'!J13</f>
        <v>0</v>
      </c>
      <c r="K13" s="807"/>
      <c r="L13" s="807">
        <f>'Purchase Order SCRAFT'!L13</f>
        <v>0</v>
      </c>
      <c r="M13" s="1437" t="str">
        <f>'Purchase Order SCRAFT'!M13</f>
        <v>63mm</v>
      </c>
      <c r="N13" s="1438">
        <f>'Purchase Order SCRAFT'!N13</f>
        <v>0</v>
      </c>
      <c r="O13" s="749" t="str">
        <f>'Purchase Order SCRAFT'!O13</f>
        <v>Centre</v>
      </c>
      <c r="P13" s="1145">
        <f>'Purchase Order SCRAFT'!P13</f>
        <v>0</v>
      </c>
      <c r="Q13" s="1437" t="str">
        <f>'Purchase Order SCRAFT'!Q13</f>
        <v>89mm Track top &amp; sides</v>
      </c>
      <c r="R13" s="1438">
        <f>'Purchase Order SCRAFT'!R13</f>
        <v>0</v>
      </c>
      <c r="S13" s="820"/>
      <c r="T13" s="821"/>
      <c r="U13" s="822"/>
      <c r="V13" s="1439" t="str">
        <f>'Purchase Order SCRAFT'!V13</f>
        <v>Butt 41mm</v>
      </c>
      <c r="W13" s="1438">
        <f>'Purchase Order SCRAFT'!W13</f>
        <v>0</v>
      </c>
      <c r="X13" s="749">
        <f>'Purchase Order SCRAFT'!X13</f>
        <v>6</v>
      </c>
      <c r="Y13" s="812">
        <f>'Purchase Order SCRAFT'!Y13</f>
        <v>0</v>
      </c>
      <c r="Z13" s="1440" t="str">
        <f>'Purchase Order SCRAFT'!Z13</f>
        <v>003-Silk White</v>
      </c>
      <c r="AA13" s="1441">
        <f>'Purchase Order SCRAFT'!AA13</f>
        <v>0</v>
      </c>
      <c r="AB13" s="1442">
        <f>'Purchase Order SCRAFT'!AB13</f>
        <v>0</v>
      </c>
      <c r="AC13" s="1443" t="str">
        <f>'Purchase Order SCRAFT'!AC13</f>
        <v>White</v>
      </c>
      <c r="AD13" s="1444">
        <f>'Purchase Order SCRAFT'!AD13</f>
        <v>0</v>
      </c>
      <c r="AE13" s="1392">
        <f>'Purchase Order SCRAFT'!AE13</f>
        <v>0</v>
      </c>
      <c r="AF13" s="1439">
        <f>'Purchase Order SCRAFT'!AF13</f>
        <v>0</v>
      </c>
      <c r="AG13" s="1439">
        <f>'Purchase Order SCRAFT'!AG13</f>
        <v>0</v>
      </c>
      <c r="AH13" s="1393">
        <f>'Purchase Order SCRAFT'!AH13</f>
        <v>0</v>
      </c>
      <c r="AI13" s="789">
        <f>'Purchase Order SCRAFT'!AI13</f>
        <v>0</v>
      </c>
    </row>
    <row r="14" spans="1:35" s="751" customFormat="1" ht="15.95" customHeight="1" x14ac:dyDescent="0.2">
      <c r="A14" s="790">
        <v>8</v>
      </c>
      <c r="B14" s="791" t="str">
        <f>'Purchase Order SCRAFT'!B14</f>
        <v xml:space="preserve">Living Room </v>
      </c>
      <c r="C14" s="792" t="str">
        <f>'Purchase Order SCRAFT'!C14</f>
        <v>Full height</v>
      </c>
      <c r="D14" s="793">
        <f>'Purchase Order SCRAFT'!D14</f>
        <v>1</v>
      </c>
      <c r="E14" s="794" t="str">
        <f>'Purchase Order SCRAFT'!E14</f>
        <v>LLRR</v>
      </c>
      <c r="F14" s="793">
        <f>'Purchase Order SCRAFT'!F14</f>
        <v>2210</v>
      </c>
      <c r="G14" s="793">
        <f>'Purchase Order SCRAFT'!G14</f>
        <v>1320</v>
      </c>
      <c r="H14" s="748">
        <f>'Purchase Order SCRAFT'!H14</f>
        <v>0</v>
      </c>
      <c r="I14" s="748" t="str">
        <f>'Purchase Order SCRAFT'!I14</f>
        <v>centre</v>
      </c>
      <c r="J14" s="793">
        <f>'Purchase Order SCRAFT'!J14</f>
        <v>0</v>
      </c>
      <c r="K14" s="793"/>
      <c r="L14" s="793">
        <f>'Purchase Order SCRAFT'!L14</f>
        <v>0</v>
      </c>
      <c r="M14" s="1430" t="str">
        <f>'Purchase Order SCRAFT'!M14</f>
        <v>63mm</v>
      </c>
      <c r="N14" s="1431">
        <f>'Purchase Order SCRAFT'!N14</f>
        <v>0</v>
      </c>
      <c r="O14" s="795" t="str">
        <f>'Purchase Order SCRAFT'!O14</f>
        <v>Centre</v>
      </c>
      <c r="P14" s="1144">
        <f>'Purchase Order SCRAFT'!P14</f>
        <v>0</v>
      </c>
      <c r="Q14" s="1430" t="str">
        <f>'Purchase Order SCRAFT'!Q14</f>
        <v>Beaded L 76mm</v>
      </c>
      <c r="R14" s="1431">
        <f>'Purchase Order SCRAFT'!R14</f>
        <v>0</v>
      </c>
      <c r="S14" s="796"/>
      <c r="T14" s="797"/>
      <c r="U14" s="798"/>
      <c r="V14" s="1432" t="str">
        <f>'Purchase Order SCRAFT'!V14</f>
        <v>D Mould 41mm</v>
      </c>
      <c r="W14" s="1431">
        <f>'Purchase Order SCRAFT'!W14</f>
        <v>0</v>
      </c>
      <c r="X14" s="748">
        <f>'Purchase Order SCRAFT'!X14</f>
        <v>4</v>
      </c>
      <c r="Y14" s="799">
        <f>'Purchase Order SCRAFT'!Y14</f>
        <v>0</v>
      </c>
      <c r="Z14" s="1433" t="str">
        <f>'Purchase Order SCRAFT'!Z14</f>
        <v>003-Silk White</v>
      </c>
      <c r="AA14" s="1434">
        <f>'Purchase Order SCRAFT'!AA14</f>
        <v>0</v>
      </c>
      <c r="AB14" s="1435">
        <f>'Purchase Order SCRAFT'!AB14</f>
        <v>0</v>
      </c>
      <c r="AC14" s="1397" t="str">
        <f>'Purchase Order SCRAFT'!AC14</f>
        <v>White</v>
      </c>
      <c r="AD14" s="1398">
        <f>'Purchase Order SCRAFT'!AD14</f>
        <v>0</v>
      </c>
      <c r="AE14" s="1397">
        <f>'Purchase Order SCRAFT'!AE14</f>
        <v>0</v>
      </c>
      <c r="AF14" s="1436">
        <f>'Purchase Order SCRAFT'!AF14</f>
        <v>0</v>
      </c>
      <c r="AG14" s="1436">
        <f>'Purchase Order SCRAFT'!AG14</f>
        <v>0</v>
      </c>
      <c r="AH14" s="1398">
        <f>'Purchase Order SCRAFT'!AH14</f>
        <v>0</v>
      </c>
      <c r="AI14" s="789">
        <f>'Purchase Order SCRAFT'!AI14</f>
        <v>0</v>
      </c>
    </row>
    <row r="15" spans="1:35" s="751" customFormat="1" ht="15.95" customHeight="1" x14ac:dyDescent="0.2">
      <c r="A15" s="813">
        <v>9</v>
      </c>
      <c r="B15" s="814" t="str">
        <f>'Purchase Order SCRAFT'!B15</f>
        <v>Utility</v>
      </c>
      <c r="C15" s="815" t="str">
        <f>'Purchase Order SCRAFT'!C15</f>
        <v>Full height</v>
      </c>
      <c r="D15" s="816">
        <f>'Purchase Order SCRAFT'!D15</f>
        <v>1</v>
      </c>
      <c r="E15" s="816" t="str">
        <f>'Purchase Order SCRAFT'!E15</f>
        <v>LLRR</v>
      </c>
      <c r="F15" s="816">
        <f>'Purchase Order SCRAFT'!F15</f>
        <v>1180</v>
      </c>
      <c r="G15" s="816">
        <f>'Purchase Order SCRAFT'!G15</f>
        <v>1100</v>
      </c>
      <c r="H15" s="785">
        <f>'Purchase Order SCRAFT'!H15</f>
        <v>0</v>
      </c>
      <c r="I15" s="781" t="str">
        <f>'Purchase Order SCRAFT'!I15</f>
        <v>centre</v>
      </c>
      <c r="J15" s="783">
        <f>'Purchase Order SCRAFT'!J15</f>
        <v>0</v>
      </c>
      <c r="K15" s="783"/>
      <c r="L15" s="783">
        <f>'Purchase Order SCRAFT'!L15</f>
        <v>0</v>
      </c>
      <c r="M15" s="1445" t="str">
        <f>'Purchase Order SCRAFT'!M15</f>
        <v>63mm</v>
      </c>
      <c r="N15" s="1446">
        <f>'Purchase Order SCRAFT'!N15</f>
        <v>0</v>
      </c>
      <c r="O15" s="747" t="str">
        <f>'Purchase Order SCRAFT'!O15</f>
        <v>Centre</v>
      </c>
      <c r="P15" s="1146">
        <f>'Purchase Order SCRAFT'!P15</f>
        <v>0</v>
      </c>
      <c r="Q15" s="1445" t="str">
        <f>'Purchase Order SCRAFT'!Q15</f>
        <v>Beaded L 46mm</v>
      </c>
      <c r="R15" s="1446">
        <f>'Purchase Order SCRAFT'!R15</f>
        <v>0</v>
      </c>
      <c r="S15" s="785"/>
      <c r="T15" s="817"/>
      <c r="U15" s="818"/>
      <c r="V15" s="1447" t="str">
        <f>'Purchase Order SCRAFT'!V15</f>
        <v>D Mould 41mm</v>
      </c>
      <c r="W15" s="1446">
        <f>'Purchase Order SCRAFT'!W15</f>
        <v>0</v>
      </c>
      <c r="X15" s="747">
        <f>'Purchase Order SCRAFT'!X15</f>
        <v>4</v>
      </c>
      <c r="Y15" s="819">
        <f>'Purchase Order SCRAFT'!Y15</f>
        <v>0</v>
      </c>
      <c r="Z15" s="1448" t="str">
        <f>'Purchase Order SCRAFT'!Z15</f>
        <v>003-Silk White</v>
      </c>
      <c r="AA15" s="1449">
        <f>'Purchase Order SCRAFT'!AA15</f>
        <v>0</v>
      </c>
      <c r="AB15" s="1450">
        <f>'Purchase Order SCRAFT'!AB15</f>
        <v>0</v>
      </c>
      <c r="AC15" s="1405" t="str">
        <f>'Purchase Order SCRAFT'!AC15</f>
        <v>White</v>
      </c>
      <c r="AD15" s="1406">
        <f>'Purchase Order SCRAFT'!AD15</f>
        <v>0</v>
      </c>
      <c r="AE15" s="1405">
        <f>'Purchase Order SCRAFT'!AE15</f>
        <v>0</v>
      </c>
      <c r="AF15" s="1447">
        <f>'Purchase Order SCRAFT'!AF15</f>
        <v>0</v>
      </c>
      <c r="AG15" s="1447">
        <f>'Purchase Order SCRAFT'!AG15</f>
        <v>0</v>
      </c>
      <c r="AH15" s="1406">
        <f>'Purchase Order SCRAFT'!AH15</f>
        <v>0</v>
      </c>
      <c r="AI15" s="789">
        <f>'Purchase Order SCRAFT'!AI15</f>
        <v>0</v>
      </c>
    </row>
    <row r="16" spans="1:35" s="751" customFormat="1" ht="15.95" customHeight="1" x14ac:dyDescent="0.2">
      <c r="A16" s="790">
        <v>10</v>
      </c>
      <c r="B16" s="791">
        <f>'Purchase Order SCRAFT'!B16</f>
        <v>0</v>
      </c>
      <c r="C16" s="792">
        <f>'Purchase Order SCRAFT'!C16</f>
        <v>0</v>
      </c>
      <c r="D16" s="793">
        <f>'Purchase Order SCRAFT'!D16</f>
        <v>0</v>
      </c>
      <c r="E16" s="794">
        <f>'Purchase Order SCRAFT'!E16</f>
        <v>0</v>
      </c>
      <c r="F16" s="793">
        <f>'Purchase Order SCRAFT'!F16</f>
        <v>0</v>
      </c>
      <c r="G16" s="793">
        <f>'Purchase Order SCRAFT'!G16</f>
        <v>0</v>
      </c>
      <c r="H16" s="748">
        <f>'Purchase Order SCRAFT'!H16</f>
        <v>0</v>
      </c>
      <c r="I16" s="748">
        <f>'Purchase Order SCRAFT'!I16</f>
        <v>0</v>
      </c>
      <c r="J16" s="793">
        <f>'Purchase Order SCRAFT'!J16</f>
        <v>0</v>
      </c>
      <c r="K16" s="793"/>
      <c r="L16" s="793">
        <f>'Purchase Order SCRAFT'!L16</f>
        <v>0</v>
      </c>
      <c r="M16" s="1430">
        <f>'Purchase Order SCRAFT'!M16</f>
        <v>0</v>
      </c>
      <c r="N16" s="1431">
        <f>'Purchase Order SCRAFT'!N16</f>
        <v>0</v>
      </c>
      <c r="O16" s="795">
        <f>'Purchase Order SCRAFT'!O16</f>
        <v>0</v>
      </c>
      <c r="P16" s="1144">
        <f>'Purchase Order SCRAFT'!P16</f>
        <v>0</v>
      </c>
      <c r="Q16" s="1430">
        <f>'Purchase Order SCRAFT'!Q16</f>
        <v>0</v>
      </c>
      <c r="R16" s="1431">
        <f>'Purchase Order SCRAFT'!R16</f>
        <v>0</v>
      </c>
      <c r="S16" s="796"/>
      <c r="T16" s="797"/>
      <c r="U16" s="798"/>
      <c r="V16" s="1432">
        <f>'Purchase Order SCRAFT'!V16</f>
        <v>0</v>
      </c>
      <c r="W16" s="1431">
        <f>'Purchase Order SCRAFT'!W16</f>
        <v>0</v>
      </c>
      <c r="X16" s="748">
        <f>'Purchase Order SCRAFT'!X16</f>
        <v>0</v>
      </c>
      <c r="Y16" s="799">
        <f>'Purchase Order SCRAFT'!Y16</f>
        <v>0</v>
      </c>
      <c r="Z16" s="1433">
        <f>'Purchase Order SCRAFT'!Z16</f>
        <v>0</v>
      </c>
      <c r="AA16" s="1434">
        <f>'Purchase Order SCRAFT'!AA16</f>
        <v>0</v>
      </c>
      <c r="AB16" s="1435">
        <f>'Purchase Order SCRAFT'!AB16</f>
        <v>0</v>
      </c>
      <c r="AC16" s="1397">
        <f>'Purchase Order SCRAFT'!AC16</f>
        <v>0</v>
      </c>
      <c r="AD16" s="1398">
        <f>'Purchase Order SCRAFT'!AD16</f>
        <v>0</v>
      </c>
      <c r="AE16" s="1397">
        <f>'Purchase Order SCRAFT'!AE16</f>
        <v>0</v>
      </c>
      <c r="AF16" s="1436">
        <f>'Purchase Order SCRAFT'!AF16</f>
        <v>0</v>
      </c>
      <c r="AG16" s="1436">
        <f>'Purchase Order SCRAFT'!AG16</f>
        <v>0</v>
      </c>
      <c r="AH16" s="1398">
        <f>'Purchase Order SCRAFT'!AH16</f>
        <v>0</v>
      </c>
      <c r="AI16" s="789">
        <f>'Purchase Order SCRAFT'!AI16</f>
        <v>0</v>
      </c>
    </row>
    <row r="17" spans="1:35" s="751" customFormat="1" ht="15.95" customHeight="1" x14ac:dyDescent="0.2">
      <c r="A17" s="800">
        <v>11</v>
      </c>
      <c r="B17" s="801">
        <f>'Purchase Order SCRAFT'!B17</f>
        <v>0</v>
      </c>
      <c r="C17" s="802">
        <f>'Purchase Order SCRAFT'!C17</f>
        <v>0</v>
      </c>
      <c r="D17" s="803">
        <f>'Purchase Order SCRAFT'!D17</f>
        <v>0</v>
      </c>
      <c r="E17" s="804">
        <f>'Purchase Order SCRAFT'!E17</f>
        <v>0</v>
      </c>
      <c r="F17" s="803">
        <f>'Purchase Order SCRAFT'!F17</f>
        <v>0</v>
      </c>
      <c r="G17" s="803">
        <f>'Purchase Order SCRAFT'!G17</f>
        <v>0</v>
      </c>
      <c r="H17" s="805">
        <f>'Purchase Order SCRAFT'!H17</f>
        <v>0</v>
      </c>
      <c r="I17" s="806">
        <f>'Purchase Order SCRAFT'!I17</f>
        <v>0</v>
      </c>
      <c r="J17" s="807">
        <f>'Purchase Order SCRAFT'!J17</f>
        <v>0</v>
      </c>
      <c r="K17" s="807"/>
      <c r="L17" s="807">
        <f>'Purchase Order SCRAFT'!L17</f>
        <v>0</v>
      </c>
      <c r="M17" s="1437">
        <f>'Purchase Order SCRAFT'!M17</f>
        <v>0</v>
      </c>
      <c r="N17" s="1438">
        <f>'Purchase Order SCRAFT'!N17</f>
        <v>0</v>
      </c>
      <c r="O17" s="749">
        <f>'Purchase Order SCRAFT'!O17</f>
        <v>0</v>
      </c>
      <c r="P17" s="1145">
        <f>'Purchase Order SCRAFT'!P17</f>
        <v>0</v>
      </c>
      <c r="Q17" s="1437">
        <f>'Purchase Order SCRAFT'!Q17</f>
        <v>0</v>
      </c>
      <c r="R17" s="1438">
        <f>'Purchase Order SCRAFT'!R17</f>
        <v>0</v>
      </c>
      <c r="S17" s="820"/>
      <c r="T17" s="821"/>
      <c r="U17" s="822"/>
      <c r="V17" s="1439">
        <f>'Purchase Order SCRAFT'!V17</f>
        <v>0</v>
      </c>
      <c r="W17" s="1438">
        <f>'Purchase Order SCRAFT'!W17</f>
        <v>0</v>
      </c>
      <c r="X17" s="749">
        <f>'Purchase Order SCRAFT'!X17</f>
        <v>0</v>
      </c>
      <c r="Y17" s="812">
        <f>'Purchase Order SCRAFT'!Y17</f>
        <v>0</v>
      </c>
      <c r="Z17" s="1440">
        <f>'Purchase Order SCRAFT'!Z17</f>
        <v>0</v>
      </c>
      <c r="AA17" s="1441">
        <f>'Purchase Order SCRAFT'!AA17</f>
        <v>0</v>
      </c>
      <c r="AB17" s="1442">
        <f>'Purchase Order SCRAFT'!AB17</f>
        <v>0</v>
      </c>
      <c r="AC17" s="1443">
        <f>'Purchase Order SCRAFT'!AC17</f>
        <v>0</v>
      </c>
      <c r="AD17" s="1444">
        <f>'Purchase Order SCRAFT'!AD17</f>
        <v>0</v>
      </c>
      <c r="AE17" s="1392">
        <f>'Purchase Order SCRAFT'!AE17</f>
        <v>0</v>
      </c>
      <c r="AF17" s="1439">
        <f>'Purchase Order SCRAFT'!AF17</f>
        <v>0</v>
      </c>
      <c r="AG17" s="1439">
        <f>'Purchase Order SCRAFT'!AG17</f>
        <v>0</v>
      </c>
      <c r="AH17" s="1393">
        <f>'Purchase Order SCRAFT'!AH17</f>
        <v>0</v>
      </c>
      <c r="AI17" s="789">
        <f>'Purchase Order SCRAFT'!AI17</f>
        <v>0</v>
      </c>
    </row>
    <row r="18" spans="1:35" s="751" customFormat="1" ht="15.95" customHeight="1" x14ac:dyDescent="0.2">
      <c r="A18" s="790">
        <v>12</v>
      </c>
      <c r="B18" s="791">
        <f>'Purchase Order SCRAFT'!B18</f>
        <v>0</v>
      </c>
      <c r="C18" s="792">
        <f>'Purchase Order SCRAFT'!C18</f>
        <v>0</v>
      </c>
      <c r="D18" s="793">
        <f>'Purchase Order SCRAFT'!D18</f>
        <v>0</v>
      </c>
      <c r="E18" s="794">
        <f>'Purchase Order SCRAFT'!E18</f>
        <v>0</v>
      </c>
      <c r="F18" s="793">
        <f>'Purchase Order SCRAFT'!F18</f>
        <v>0</v>
      </c>
      <c r="G18" s="793">
        <f>'Purchase Order SCRAFT'!G18</f>
        <v>0</v>
      </c>
      <c r="H18" s="748">
        <f>'Purchase Order SCRAFT'!H18</f>
        <v>0</v>
      </c>
      <c r="I18" s="748">
        <f>'Purchase Order SCRAFT'!I18</f>
        <v>0</v>
      </c>
      <c r="J18" s="793">
        <f>'Purchase Order SCRAFT'!J18</f>
        <v>0</v>
      </c>
      <c r="K18" s="793"/>
      <c r="L18" s="793">
        <f>'Purchase Order SCRAFT'!L18</f>
        <v>0</v>
      </c>
      <c r="M18" s="1430">
        <f>'Purchase Order SCRAFT'!M18</f>
        <v>0</v>
      </c>
      <c r="N18" s="1431">
        <f>'Purchase Order SCRAFT'!N18</f>
        <v>0</v>
      </c>
      <c r="O18" s="795">
        <f>'Purchase Order SCRAFT'!O18</f>
        <v>0</v>
      </c>
      <c r="P18" s="1144">
        <f>'Purchase Order SCRAFT'!P18</f>
        <v>0</v>
      </c>
      <c r="Q18" s="1430">
        <f>'Purchase Order SCRAFT'!Q18</f>
        <v>0</v>
      </c>
      <c r="R18" s="1431">
        <f>'Purchase Order SCRAFT'!R18</f>
        <v>0</v>
      </c>
      <c r="S18" s="796"/>
      <c r="T18" s="797"/>
      <c r="U18" s="798"/>
      <c r="V18" s="1432">
        <f>'Purchase Order SCRAFT'!V18</f>
        <v>0</v>
      </c>
      <c r="W18" s="1431">
        <f>'Purchase Order SCRAFT'!W18</f>
        <v>0</v>
      </c>
      <c r="X18" s="748">
        <f>'Purchase Order SCRAFT'!X18</f>
        <v>0</v>
      </c>
      <c r="Y18" s="799">
        <f>'Purchase Order SCRAFT'!Y18</f>
        <v>0</v>
      </c>
      <c r="Z18" s="1433">
        <f>'Purchase Order SCRAFT'!Z18</f>
        <v>0</v>
      </c>
      <c r="AA18" s="1434">
        <f>'Purchase Order SCRAFT'!AA18</f>
        <v>0</v>
      </c>
      <c r="AB18" s="1435">
        <f>'Purchase Order SCRAFT'!AB18</f>
        <v>0</v>
      </c>
      <c r="AC18" s="1397">
        <f>'Purchase Order SCRAFT'!AC18</f>
        <v>0</v>
      </c>
      <c r="AD18" s="1398">
        <f>'Purchase Order SCRAFT'!AD18</f>
        <v>0</v>
      </c>
      <c r="AE18" s="1397">
        <f>'Purchase Order SCRAFT'!AE18</f>
        <v>0</v>
      </c>
      <c r="AF18" s="1436">
        <f>'Purchase Order SCRAFT'!AF18</f>
        <v>0</v>
      </c>
      <c r="AG18" s="1436">
        <f>'Purchase Order SCRAFT'!AG18</f>
        <v>0</v>
      </c>
      <c r="AH18" s="1398">
        <f>'Purchase Order SCRAFT'!AH18</f>
        <v>0</v>
      </c>
      <c r="AI18" s="789">
        <f>'Purchase Order SCRAFT'!AI18</f>
        <v>0</v>
      </c>
    </row>
    <row r="19" spans="1:35" s="751" customFormat="1" ht="15.95" customHeight="1" x14ac:dyDescent="0.2">
      <c r="A19" s="813">
        <v>13</v>
      </c>
      <c r="B19" s="814">
        <f>'Purchase Order SCRAFT'!B19</f>
        <v>0</v>
      </c>
      <c r="C19" s="815">
        <f>'Purchase Order SCRAFT'!C19</f>
        <v>0</v>
      </c>
      <c r="D19" s="816">
        <f>'Purchase Order SCRAFT'!D19</f>
        <v>0</v>
      </c>
      <c r="E19" s="816">
        <f>'Purchase Order SCRAFT'!E19</f>
        <v>0</v>
      </c>
      <c r="F19" s="816">
        <f>'Purchase Order SCRAFT'!F19</f>
        <v>0</v>
      </c>
      <c r="G19" s="816">
        <f>'Purchase Order SCRAFT'!G19</f>
        <v>0</v>
      </c>
      <c r="H19" s="785">
        <f>'Purchase Order SCRAFT'!H19</f>
        <v>0</v>
      </c>
      <c r="I19" s="781">
        <f>'Purchase Order SCRAFT'!I19</f>
        <v>0</v>
      </c>
      <c r="J19" s="783">
        <f>'Purchase Order SCRAFT'!J19</f>
        <v>0</v>
      </c>
      <c r="K19" s="783"/>
      <c r="L19" s="783">
        <f>'Purchase Order SCRAFT'!L19</f>
        <v>0</v>
      </c>
      <c r="M19" s="1445">
        <f>'Purchase Order SCRAFT'!M19</f>
        <v>0</v>
      </c>
      <c r="N19" s="1446">
        <f>'Purchase Order SCRAFT'!N19</f>
        <v>0</v>
      </c>
      <c r="O19" s="747">
        <f>'Purchase Order SCRAFT'!O19</f>
        <v>0</v>
      </c>
      <c r="P19" s="1146">
        <f>'Purchase Order SCRAFT'!P19</f>
        <v>0</v>
      </c>
      <c r="Q19" s="1445">
        <f>'Purchase Order SCRAFT'!Q19</f>
        <v>0</v>
      </c>
      <c r="R19" s="1446">
        <f>'Purchase Order SCRAFT'!R19</f>
        <v>0</v>
      </c>
      <c r="S19" s="785"/>
      <c r="T19" s="817"/>
      <c r="U19" s="818"/>
      <c r="V19" s="1447">
        <f>'Purchase Order SCRAFT'!V19</f>
        <v>0</v>
      </c>
      <c r="W19" s="1446">
        <f>'Purchase Order SCRAFT'!W19</f>
        <v>0</v>
      </c>
      <c r="X19" s="747">
        <f>'Purchase Order SCRAFT'!X19</f>
        <v>0</v>
      </c>
      <c r="Y19" s="819">
        <f>'Purchase Order SCRAFT'!Y19</f>
        <v>0</v>
      </c>
      <c r="Z19" s="1448">
        <f>'Purchase Order SCRAFT'!Z19</f>
        <v>0</v>
      </c>
      <c r="AA19" s="1449">
        <f>'Purchase Order SCRAFT'!AA19</f>
        <v>0</v>
      </c>
      <c r="AB19" s="1450">
        <f>'Purchase Order SCRAFT'!AB19</f>
        <v>0</v>
      </c>
      <c r="AC19" s="1405">
        <f>'Purchase Order SCRAFT'!AC19</f>
        <v>0</v>
      </c>
      <c r="AD19" s="1406">
        <f>'Purchase Order SCRAFT'!AD19</f>
        <v>0</v>
      </c>
      <c r="AE19" s="1405">
        <f>'Purchase Order SCRAFT'!AE19</f>
        <v>0</v>
      </c>
      <c r="AF19" s="1447">
        <f>'Purchase Order SCRAFT'!AF19</f>
        <v>0</v>
      </c>
      <c r="AG19" s="1447">
        <f>'Purchase Order SCRAFT'!AG19</f>
        <v>0</v>
      </c>
      <c r="AH19" s="1406">
        <f>'Purchase Order SCRAFT'!AH19</f>
        <v>0</v>
      </c>
      <c r="AI19" s="789">
        <f>'Purchase Order SCRAFT'!AI19</f>
        <v>0</v>
      </c>
    </row>
    <row r="20" spans="1:35" s="751" customFormat="1" ht="15.95" customHeight="1" x14ac:dyDescent="0.2">
      <c r="A20" s="790">
        <v>14</v>
      </c>
      <c r="B20" s="791">
        <f>'Purchase Order SCRAFT'!B20</f>
        <v>0</v>
      </c>
      <c r="C20" s="792">
        <f>'Purchase Order SCRAFT'!C20</f>
        <v>0</v>
      </c>
      <c r="D20" s="793">
        <f>'Purchase Order SCRAFT'!D20</f>
        <v>0</v>
      </c>
      <c r="E20" s="794">
        <f>'Purchase Order SCRAFT'!E20</f>
        <v>0</v>
      </c>
      <c r="F20" s="793">
        <f>'Purchase Order SCRAFT'!F20</f>
        <v>0</v>
      </c>
      <c r="G20" s="793">
        <f>'Purchase Order SCRAFT'!G20</f>
        <v>0</v>
      </c>
      <c r="H20" s="748">
        <f>'Purchase Order SCRAFT'!H20</f>
        <v>0</v>
      </c>
      <c r="I20" s="748">
        <f>'Purchase Order SCRAFT'!I20</f>
        <v>0</v>
      </c>
      <c r="J20" s="793">
        <f>'Purchase Order SCRAFT'!J20</f>
        <v>0</v>
      </c>
      <c r="K20" s="793"/>
      <c r="L20" s="793">
        <f>'Purchase Order SCRAFT'!L20</f>
        <v>0</v>
      </c>
      <c r="M20" s="1430">
        <f>'Purchase Order SCRAFT'!M20</f>
        <v>0</v>
      </c>
      <c r="N20" s="1431">
        <f>'Purchase Order SCRAFT'!N20</f>
        <v>0</v>
      </c>
      <c r="O20" s="795">
        <f>'Purchase Order SCRAFT'!O20</f>
        <v>0</v>
      </c>
      <c r="P20" s="1144">
        <f>'Purchase Order SCRAFT'!P20</f>
        <v>0</v>
      </c>
      <c r="Q20" s="1430">
        <f>'Purchase Order SCRAFT'!Q20</f>
        <v>0</v>
      </c>
      <c r="R20" s="1431">
        <f>'Purchase Order SCRAFT'!R20</f>
        <v>0</v>
      </c>
      <c r="S20" s="796"/>
      <c r="T20" s="797"/>
      <c r="U20" s="798"/>
      <c r="V20" s="1432">
        <f>'Purchase Order SCRAFT'!V20</f>
        <v>0</v>
      </c>
      <c r="W20" s="1431">
        <f>'Purchase Order SCRAFT'!W20</f>
        <v>0</v>
      </c>
      <c r="X20" s="748">
        <f>'Purchase Order SCRAFT'!X20</f>
        <v>0</v>
      </c>
      <c r="Y20" s="799">
        <f>'Purchase Order SCRAFT'!Y20</f>
        <v>0</v>
      </c>
      <c r="Z20" s="1433">
        <f>'Purchase Order SCRAFT'!Z20</f>
        <v>0</v>
      </c>
      <c r="AA20" s="1434">
        <f>'Purchase Order SCRAFT'!AA20</f>
        <v>0</v>
      </c>
      <c r="AB20" s="1435">
        <f>'Purchase Order SCRAFT'!AB20</f>
        <v>0</v>
      </c>
      <c r="AC20" s="1397">
        <f>'Purchase Order SCRAFT'!AC20</f>
        <v>0</v>
      </c>
      <c r="AD20" s="1398">
        <f>'Purchase Order SCRAFT'!AD20</f>
        <v>0</v>
      </c>
      <c r="AE20" s="1397">
        <f>'Purchase Order SCRAFT'!AE20</f>
        <v>0</v>
      </c>
      <c r="AF20" s="1436">
        <f>'Purchase Order SCRAFT'!AF20</f>
        <v>0</v>
      </c>
      <c r="AG20" s="1436">
        <f>'Purchase Order SCRAFT'!AG20</f>
        <v>0</v>
      </c>
      <c r="AH20" s="1398">
        <f>'Purchase Order SCRAFT'!AH20</f>
        <v>0</v>
      </c>
      <c r="AI20" s="789">
        <f>'Purchase Order SCRAFT'!AI20</f>
        <v>0</v>
      </c>
    </row>
    <row r="21" spans="1:35" s="751" customFormat="1" ht="15.95" customHeight="1" x14ac:dyDescent="0.2">
      <c r="A21" s="800">
        <v>15</v>
      </c>
      <c r="B21" s="801">
        <f>'Purchase Order SCRAFT'!B21</f>
        <v>0</v>
      </c>
      <c r="C21" s="802">
        <f>'Purchase Order SCRAFT'!C21</f>
        <v>0</v>
      </c>
      <c r="D21" s="803">
        <f>'Purchase Order SCRAFT'!D21</f>
        <v>0</v>
      </c>
      <c r="E21" s="804">
        <f>'Purchase Order SCRAFT'!E21</f>
        <v>0</v>
      </c>
      <c r="F21" s="803">
        <f>'Purchase Order SCRAFT'!F21</f>
        <v>0</v>
      </c>
      <c r="G21" s="803">
        <f>'Purchase Order SCRAFT'!G21</f>
        <v>0</v>
      </c>
      <c r="H21" s="805">
        <f>'Purchase Order SCRAFT'!H21</f>
        <v>0</v>
      </c>
      <c r="I21" s="806">
        <f>'Purchase Order SCRAFT'!I21</f>
        <v>0</v>
      </c>
      <c r="J21" s="807">
        <f>'Purchase Order SCRAFT'!J21</f>
        <v>0</v>
      </c>
      <c r="K21" s="807"/>
      <c r="L21" s="807">
        <f>'Purchase Order SCRAFT'!L21</f>
        <v>0</v>
      </c>
      <c r="M21" s="1437">
        <f>'Purchase Order SCRAFT'!M21</f>
        <v>0</v>
      </c>
      <c r="N21" s="1438">
        <f>'Purchase Order SCRAFT'!N21</f>
        <v>0</v>
      </c>
      <c r="O21" s="749">
        <f>'Purchase Order SCRAFT'!O21</f>
        <v>0</v>
      </c>
      <c r="P21" s="1145">
        <f>'Purchase Order SCRAFT'!P21</f>
        <v>0</v>
      </c>
      <c r="Q21" s="1437">
        <f>'Purchase Order SCRAFT'!Q21</f>
        <v>0</v>
      </c>
      <c r="R21" s="1438">
        <f>'Purchase Order SCRAFT'!R21</f>
        <v>0</v>
      </c>
      <c r="S21" s="820"/>
      <c r="T21" s="821"/>
      <c r="U21" s="822"/>
      <c r="V21" s="1439">
        <f>'Purchase Order SCRAFT'!V21</f>
        <v>0</v>
      </c>
      <c r="W21" s="1438">
        <f>'Purchase Order SCRAFT'!W21</f>
        <v>0</v>
      </c>
      <c r="X21" s="749">
        <f>'Purchase Order SCRAFT'!X21</f>
        <v>0</v>
      </c>
      <c r="Y21" s="812">
        <f>'Purchase Order SCRAFT'!Y21</f>
        <v>0</v>
      </c>
      <c r="Z21" s="1440">
        <f>'Purchase Order SCRAFT'!Z21</f>
        <v>0</v>
      </c>
      <c r="AA21" s="1441">
        <f>'Purchase Order SCRAFT'!AA21</f>
        <v>0</v>
      </c>
      <c r="AB21" s="1442">
        <f>'Purchase Order SCRAFT'!AB21</f>
        <v>0</v>
      </c>
      <c r="AC21" s="1443">
        <f>'Purchase Order SCRAFT'!AC21</f>
        <v>0</v>
      </c>
      <c r="AD21" s="1444">
        <f>'Purchase Order SCRAFT'!AD21</f>
        <v>0</v>
      </c>
      <c r="AE21" s="1392">
        <f>'Purchase Order SCRAFT'!AE21</f>
        <v>0</v>
      </c>
      <c r="AF21" s="1439">
        <f>'Purchase Order SCRAFT'!AF21</f>
        <v>0</v>
      </c>
      <c r="AG21" s="1439">
        <f>'Purchase Order SCRAFT'!AG21</f>
        <v>0</v>
      </c>
      <c r="AH21" s="1393">
        <f>'Purchase Order SCRAFT'!AH21</f>
        <v>0</v>
      </c>
      <c r="AI21" s="789">
        <f>'Purchase Order SCRAFT'!AI21</f>
        <v>0</v>
      </c>
    </row>
    <row r="22" spans="1:35" s="751" customFormat="1" ht="15.95" customHeight="1" x14ac:dyDescent="0.2">
      <c r="A22" s="790">
        <v>16</v>
      </c>
      <c r="B22" s="791">
        <f>'Purchase Order SCRAFT'!B22</f>
        <v>0</v>
      </c>
      <c r="C22" s="792">
        <f>'Purchase Order SCRAFT'!C22</f>
        <v>0</v>
      </c>
      <c r="D22" s="793">
        <f>'Purchase Order SCRAFT'!D22</f>
        <v>0</v>
      </c>
      <c r="E22" s="794">
        <f>'Purchase Order SCRAFT'!E22</f>
        <v>0</v>
      </c>
      <c r="F22" s="793">
        <f>'Purchase Order SCRAFT'!F22</f>
        <v>0</v>
      </c>
      <c r="G22" s="793">
        <f>'Purchase Order SCRAFT'!G22</f>
        <v>0</v>
      </c>
      <c r="H22" s="748">
        <f>'Purchase Order SCRAFT'!H22</f>
        <v>0</v>
      </c>
      <c r="I22" s="748">
        <f>'Purchase Order SCRAFT'!I22</f>
        <v>0</v>
      </c>
      <c r="J22" s="793">
        <f>'Purchase Order SCRAFT'!J22</f>
        <v>0</v>
      </c>
      <c r="K22" s="793"/>
      <c r="L22" s="793">
        <f>'Purchase Order SCRAFT'!L22</f>
        <v>0</v>
      </c>
      <c r="M22" s="1430">
        <f>'Purchase Order SCRAFT'!M22</f>
        <v>0</v>
      </c>
      <c r="N22" s="1431">
        <f>'Purchase Order SCRAFT'!N22</f>
        <v>0</v>
      </c>
      <c r="O22" s="795">
        <f>'Purchase Order SCRAFT'!O22</f>
        <v>0</v>
      </c>
      <c r="P22" s="1144">
        <f>'Purchase Order SCRAFT'!P22</f>
        <v>0</v>
      </c>
      <c r="Q22" s="1430">
        <f>'Purchase Order SCRAFT'!Q22</f>
        <v>0</v>
      </c>
      <c r="R22" s="1431">
        <f>'Purchase Order SCRAFT'!R22</f>
        <v>0</v>
      </c>
      <c r="S22" s="796"/>
      <c r="T22" s="797"/>
      <c r="U22" s="798"/>
      <c r="V22" s="1432">
        <f>'Purchase Order SCRAFT'!V22</f>
        <v>0</v>
      </c>
      <c r="W22" s="1431">
        <f>'Purchase Order SCRAFT'!W22</f>
        <v>0</v>
      </c>
      <c r="X22" s="748">
        <f>'Purchase Order SCRAFT'!X22</f>
        <v>0</v>
      </c>
      <c r="Y22" s="799">
        <f>'Purchase Order SCRAFT'!Y22</f>
        <v>0</v>
      </c>
      <c r="Z22" s="1433">
        <f>'Purchase Order SCRAFT'!Z22</f>
        <v>0</v>
      </c>
      <c r="AA22" s="1434">
        <f>'Purchase Order SCRAFT'!AA22</f>
        <v>0</v>
      </c>
      <c r="AB22" s="1435">
        <f>'Purchase Order SCRAFT'!AB22</f>
        <v>0</v>
      </c>
      <c r="AC22" s="1397">
        <f>'Purchase Order SCRAFT'!AC22</f>
        <v>0</v>
      </c>
      <c r="AD22" s="1398">
        <f>'Purchase Order SCRAFT'!AD22</f>
        <v>0</v>
      </c>
      <c r="AE22" s="1397">
        <f>'Purchase Order SCRAFT'!AE22</f>
        <v>0</v>
      </c>
      <c r="AF22" s="1436">
        <f>'Purchase Order SCRAFT'!AF22</f>
        <v>0</v>
      </c>
      <c r="AG22" s="1436">
        <f>'Purchase Order SCRAFT'!AG22</f>
        <v>0</v>
      </c>
      <c r="AH22" s="1398">
        <f>'Purchase Order SCRAFT'!AH22</f>
        <v>0</v>
      </c>
      <c r="AI22" s="789">
        <f>'Purchase Order SCRAFT'!AI22</f>
        <v>0</v>
      </c>
    </row>
    <row r="23" spans="1:35" s="751" customFormat="1" ht="15.95" customHeight="1" x14ac:dyDescent="0.2">
      <c r="A23" s="813">
        <v>17</v>
      </c>
      <c r="B23" s="814">
        <f>'Purchase Order SCRAFT'!B23</f>
        <v>0</v>
      </c>
      <c r="C23" s="815">
        <f>'Purchase Order SCRAFT'!C23</f>
        <v>0</v>
      </c>
      <c r="D23" s="816">
        <f>'Purchase Order SCRAFT'!D23</f>
        <v>0</v>
      </c>
      <c r="E23" s="816">
        <f>'Purchase Order SCRAFT'!E23</f>
        <v>0</v>
      </c>
      <c r="F23" s="816">
        <f>'Purchase Order SCRAFT'!F23</f>
        <v>0</v>
      </c>
      <c r="G23" s="816">
        <f>'Purchase Order SCRAFT'!G23</f>
        <v>0</v>
      </c>
      <c r="H23" s="785">
        <f>'Purchase Order SCRAFT'!H23</f>
        <v>0</v>
      </c>
      <c r="I23" s="781">
        <f>'Purchase Order SCRAFT'!I23</f>
        <v>0</v>
      </c>
      <c r="J23" s="783">
        <f>'Purchase Order SCRAFT'!J23</f>
        <v>0</v>
      </c>
      <c r="K23" s="783"/>
      <c r="L23" s="783">
        <f>'Purchase Order SCRAFT'!L23</f>
        <v>0</v>
      </c>
      <c r="M23" s="1445">
        <f>'Purchase Order SCRAFT'!M23</f>
        <v>0</v>
      </c>
      <c r="N23" s="1446">
        <f>'Purchase Order SCRAFT'!N23</f>
        <v>0</v>
      </c>
      <c r="O23" s="747">
        <f>'Purchase Order SCRAFT'!O23</f>
        <v>0</v>
      </c>
      <c r="P23" s="1146">
        <f>'Purchase Order SCRAFT'!P23</f>
        <v>0</v>
      </c>
      <c r="Q23" s="1445">
        <f>'Purchase Order SCRAFT'!Q23</f>
        <v>0</v>
      </c>
      <c r="R23" s="1446">
        <f>'Purchase Order SCRAFT'!R23</f>
        <v>0</v>
      </c>
      <c r="S23" s="785"/>
      <c r="T23" s="817"/>
      <c r="U23" s="818"/>
      <c r="V23" s="1447">
        <f>'Purchase Order SCRAFT'!V23</f>
        <v>0</v>
      </c>
      <c r="W23" s="1446">
        <f>'Purchase Order SCRAFT'!W23</f>
        <v>0</v>
      </c>
      <c r="X23" s="747">
        <f>'Purchase Order SCRAFT'!X23</f>
        <v>0</v>
      </c>
      <c r="Y23" s="819">
        <f>'Purchase Order SCRAFT'!Y23</f>
        <v>0</v>
      </c>
      <c r="Z23" s="1448">
        <f>'Purchase Order SCRAFT'!Z23</f>
        <v>0</v>
      </c>
      <c r="AA23" s="1449">
        <f>'Purchase Order SCRAFT'!AA23</f>
        <v>0</v>
      </c>
      <c r="AB23" s="1450">
        <f>'Purchase Order SCRAFT'!AB23</f>
        <v>0</v>
      </c>
      <c r="AC23" s="1405">
        <f>'Purchase Order SCRAFT'!AC23</f>
        <v>0</v>
      </c>
      <c r="AD23" s="1406">
        <f>'Purchase Order SCRAFT'!AD23</f>
        <v>0</v>
      </c>
      <c r="AE23" s="1405">
        <f>'Purchase Order SCRAFT'!AE23</f>
        <v>0</v>
      </c>
      <c r="AF23" s="1447">
        <f>'Purchase Order SCRAFT'!AF23</f>
        <v>0</v>
      </c>
      <c r="AG23" s="1447">
        <f>'Purchase Order SCRAFT'!AG23</f>
        <v>0</v>
      </c>
      <c r="AH23" s="1406">
        <f>'Purchase Order SCRAFT'!AH23</f>
        <v>0</v>
      </c>
      <c r="AI23" s="789">
        <f>'Purchase Order SCRAFT'!AI23</f>
        <v>0</v>
      </c>
    </row>
    <row r="24" spans="1:35" s="751" customFormat="1" ht="15.95" customHeight="1" x14ac:dyDescent="0.2">
      <c r="A24" s="790">
        <v>18</v>
      </c>
      <c r="B24" s="791">
        <f>'Purchase Order SCRAFT'!B24</f>
        <v>0</v>
      </c>
      <c r="C24" s="792">
        <f>'Purchase Order SCRAFT'!C24</f>
        <v>0</v>
      </c>
      <c r="D24" s="793">
        <f>'Purchase Order SCRAFT'!D24</f>
        <v>0</v>
      </c>
      <c r="E24" s="794">
        <f>'Purchase Order SCRAFT'!E24</f>
        <v>0</v>
      </c>
      <c r="F24" s="793">
        <f>'Purchase Order SCRAFT'!F24</f>
        <v>0</v>
      </c>
      <c r="G24" s="793">
        <f>'Purchase Order SCRAFT'!G24</f>
        <v>0</v>
      </c>
      <c r="H24" s="748">
        <f>'Purchase Order SCRAFT'!H24</f>
        <v>0</v>
      </c>
      <c r="I24" s="748">
        <f>'Purchase Order SCRAFT'!I24</f>
        <v>0</v>
      </c>
      <c r="J24" s="793">
        <f>'Purchase Order SCRAFT'!J24</f>
        <v>0</v>
      </c>
      <c r="K24" s="793"/>
      <c r="L24" s="793">
        <f>'Purchase Order SCRAFT'!L24</f>
        <v>0</v>
      </c>
      <c r="M24" s="1430">
        <f>'Purchase Order SCRAFT'!M24</f>
        <v>0</v>
      </c>
      <c r="N24" s="1431">
        <f>'Purchase Order SCRAFT'!N24</f>
        <v>0</v>
      </c>
      <c r="O24" s="795">
        <f>'Purchase Order SCRAFT'!O24</f>
        <v>0</v>
      </c>
      <c r="P24" s="1144">
        <f>'Purchase Order SCRAFT'!P24</f>
        <v>0</v>
      </c>
      <c r="Q24" s="1430">
        <f>'Purchase Order SCRAFT'!Q24</f>
        <v>0</v>
      </c>
      <c r="R24" s="1431">
        <f>'Purchase Order SCRAFT'!R24</f>
        <v>0</v>
      </c>
      <c r="S24" s="796"/>
      <c r="T24" s="797"/>
      <c r="U24" s="798"/>
      <c r="V24" s="1432">
        <f>'Purchase Order SCRAFT'!V24</f>
        <v>0</v>
      </c>
      <c r="W24" s="1431">
        <f>'Purchase Order SCRAFT'!W24</f>
        <v>0</v>
      </c>
      <c r="X24" s="748">
        <f>'Purchase Order SCRAFT'!X24</f>
        <v>0</v>
      </c>
      <c r="Y24" s="799">
        <f>'Purchase Order SCRAFT'!Y24</f>
        <v>0</v>
      </c>
      <c r="Z24" s="1433">
        <f>'Purchase Order SCRAFT'!Z24</f>
        <v>0</v>
      </c>
      <c r="AA24" s="1434">
        <f>'Purchase Order SCRAFT'!AA24</f>
        <v>0</v>
      </c>
      <c r="AB24" s="1435">
        <f>'Purchase Order SCRAFT'!AB24</f>
        <v>0</v>
      </c>
      <c r="AC24" s="1397">
        <f>'Purchase Order SCRAFT'!AC24</f>
        <v>0</v>
      </c>
      <c r="AD24" s="1398">
        <f>'Purchase Order SCRAFT'!AD24</f>
        <v>0</v>
      </c>
      <c r="AE24" s="1397">
        <f>'Purchase Order SCRAFT'!AE24</f>
        <v>0</v>
      </c>
      <c r="AF24" s="1436">
        <f>'Purchase Order SCRAFT'!AF24</f>
        <v>0</v>
      </c>
      <c r="AG24" s="1436">
        <f>'Purchase Order SCRAFT'!AG24</f>
        <v>0</v>
      </c>
      <c r="AH24" s="1398">
        <f>'Purchase Order SCRAFT'!AH24</f>
        <v>0</v>
      </c>
      <c r="AI24" s="789">
        <f>'Purchase Order SCRAFT'!AI24</f>
        <v>0</v>
      </c>
    </row>
    <row r="25" spans="1:35" s="751" customFormat="1" ht="15.95" customHeight="1" x14ac:dyDescent="0.2">
      <c r="A25" s="800">
        <v>19</v>
      </c>
      <c r="B25" s="801">
        <f>'Purchase Order SCRAFT'!B25</f>
        <v>0</v>
      </c>
      <c r="C25" s="802">
        <f>'Purchase Order SCRAFT'!C25</f>
        <v>0</v>
      </c>
      <c r="D25" s="803">
        <f>'Purchase Order SCRAFT'!D25</f>
        <v>0</v>
      </c>
      <c r="E25" s="804">
        <f>'Purchase Order SCRAFT'!E25</f>
        <v>0</v>
      </c>
      <c r="F25" s="803">
        <f>'Purchase Order SCRAFT'!F25</f>
        <v>0</v>
      </c>
      <c r="G25" s="803">
        <f>'Purchase Order SCRAFT'!G25</f>
        <v>0</v>
      </c>
      <c r="H25" s="805">
        <f>'Purchase Order SCRAFT'!H25</f>
        <v>0</v>
      </c>
      <c r="I25" s="806">
        <f>'Purchase Order SCRAFT'!I25</f>
        <v>0</v>
      </c>
      <c r="J25" s="807">
        <f>'Purchase Order SCRAFT'!J25</f>
        <v>0</v>
      </c>
      <c r="K25" s="807"/>
      <c r="L25" s="807">
        <f>'Purchase Order SCRAFT'!L25</f>
        <v>0</v>
      </c>
      <c r="M25" s="1437">
        <f>'Purchase Order SCRAFT'!M25</f>
        <v>0</v>
      </c>
      <c r="N25" s="1438">
        <f>'Purchase Order SCRAFT'!N25</f>
        <v>0</v>
      </c>
      <c r="O25" s="749">
        <f>'Purchase Order SCRAFT'!O25</f>
        <v>0</v>
      </c>
      <c r="P25" s="1145">
        <f>'Purchase Order SCRAFT'!P25</f>
        <v>0</v>
      </c>
      <c r="Q25" s="1437">
        <f>'Purchase Order SCRAFT'!Q25</f>
        <v>0</v>
      </c>
      <c r="R25" s="1438">
        <f>'Purchase Order SCRAFT'!R25</f>
        <v>0</v>
      </c>
      <c r="S25" s="820"/>
      <c r="T25" s="821"/>
      <c r="U25" s="822"/>
      <c r="V25" s="1439">
        <f>'Purchase Order SCRAFT'!V25</f>
        <v>0</v>
      </c>
      <c r="W25" s="1438">
        <f>'Purchase Order SCRAFT'!W25</f>
        <v>0</v>
      </c>
      <c r="X25" s="749">
        <f>'Purchase Order SCRAFT'!X25</f>
        <v>0</v>
      </c>
      <c r="Y25" s="812">
        <f>'Purchase Order SCRAFT'!Y25</f>
        <v>0</v>
      </c>
      <c r="Z25" s="1440">
        <f>'Purchase Order SCRAFT'!Z25</f>
        <v>0</v>
      </c>
      <c r="AA25" s="1441">
        <f>'Purchase Order SCRAFT'!AA25</f>
        <v>0</v>
      </c>
      <c r="AB25" s="1442">
        <f>'Purchase Order SCRAFT'!AB25</f>
        <v>0</v>
      </c>
      <c r="AC25" s="1443">
        <f>'Purchase Order SCRAFT'!AC25</f>
        <v>0</v>
      </c>
      <c r="AD25" s="1444">
        <f>'Purchase Order SCRAFT'!AD25</f>
        <v>0</v>
      </c>
      <c r="AE25" s="1392">
        <f>'Purchase Order SCRAFT'!AE25</f>
        <v>0</v>
      </c>
      <c r="AF25" s="1439">
        <f>'Purchase Order SCRAFT'!AF25</f>
        <v>0</v>
      </c>
      <c r="AG25" s="1439">
        <f>'Purchase Order SCRAFT'!AG25</f>
        <v>0</v>
      </c>
      <c r="AH25" s="1393">
        <f>'Purchase Order SCRAFT'!AH25</f>
        <v>0</v>
      </c>
      <c r="AI25" s="789">
        <f>'Purchase Order SCRAFT'!AI25</f>
        <v>0</v>
      </c>
    </row>
    <row r="26" spans="1:35" s="751" customFormat="1" ht="15.95" customHeight="1" thickBot="1" x14ac:dyDescent="0.25">
      <c r="A26" s="823">
        <v>20</v>
      </c>
      <c r="B26" s="824">
        <f>'Purchase Order SCRAFT'!B26</f>
        <v>0</v>
      </c>
      <c r="C26" s="825">
        <f>'Purchase Order SCRAFT'!C26</f>
        <v>0</v>
      </c>
      <c r="D26" s="826">
        <f>'Purchase Order SCRAFT'!D26</f>
        <v>0</v>
      </c>
      <c r="E26" s="826">
        <f>'Purchase Order SCRAFT'!E26</f>
        <v>0</v>
      </c>
      <c r="F26" s="826">
        <f>'Purchase Order SCRAFT'!F26</f>
        <v>0</v>
      </c>
      <c r="G26" s="826">
        <f>'Purchase Order SCRAFT'!G26</f>
        <v>0</v>
      </c>
      <c r="H26" s="750">
        <f>'Purchase Order SCRAFT'!H26</f>
        <v>0</v>
      </c>
      <c r="I26" s="750">
        <f>'Purchase Order SCRAFT'!I26</f>
        <v>0</v>
      </c>
      <c r="J26" s="826">
        <f>'Purchase Order SCRAFT'!J26</f>
        <v>0</v>
      </c>
      <c r="K26" s="826"/>
      <c r="L26" s="826">
        <f>'Purchase Order SCRAFT'!L26</f>
        <v>0</v>
      </c>
      <c r="M26" s="1417">
        <f>'Purchase Order SCRAFT'!M26</f>
        <v>0</v>
      </c>
      <c r="N26" s="1418">
        <f>'Purchase Order SCRAFT'!N26</f>
        <v>0</v>
      </c>
      <c r="O26" s="827">
        <f>'Purchase Order SCRAFT'!O26</f>
        <v>0</v>
      </c>
      <c r="P26" s="1147">
        <f>'Purchase Order SCRAFT'!P26</f>
        <v>0</v>
      </c>
      <c r="Q26" s="1417">
        <f>'Purchase Order SCRAFT'!Q26</f>
        <v>0</v>
      </c>
      <c r="R26" s="1418">
        <f>'Purchase Order SCRAFT'!R26</f>
        <v>0</v>
      </c>
      <c r="S26" s="828"/>
      <c r="T26" s="829"/>
      <c r="U26" s="830"/>
      <c r="V26" s="1419">
        <f>'Purchase Order SCRAFT'!V26</f>
        <v>0</v>
      </c>
      <c r="W26" s="1418">
        <f>'Purchase Order SCRAFT'!W26</f>
        <v>0</v>
      </c>
      <c r="X26" s="750">
        <f>'Purchase Order SCRAFT'!X26</f>
        <v>0</v>
      </c>
      <c r="Y26" s="831">
        <f>'Purchase Order SCRAFT'!Y26</f>
        <v>0</v>
      </c>
      <c r="Z26" s="1420">
        <f>'Purchase Order SCRAFT'!Z26</f>
        <v>0</v>
      </c>
      <c r="AA26" s="1421">
        <f>'Purchase Order SCRAFT'!AA26</f>
        <v>0</v>
      </c>
      <c r="AB26" s="1422">
        <f>'Purchase Order SCRAFT'!AB26</f>
        <v>0</v>
      </c>
      <c r="AC26" s="1400">
        <f>'Purchase Order SCRAFT'!AC26</f>
        <v>0</v>
      </c>
      <c r="AD26" s="1401">
        <f>'Purchase Order SCRAFT'!AD26</f>
        <v>0</v>
      </c>
      <c r="AE26" s="1423">
        <f>'Purchase Order SCRAFT'!AE26</f>
        <v>0</v>
      </c>
      <c r="AF26" s="1424">
        <f>'Purchase Order SCRAFT'!AF26</f>
        <v>0</v>
      </c>
      <c r="AG26" s="1424">
        <f>'Purchase Order SCRAFT'!AG26</f>
        <v>0</v>
      </c>
      <c r="AH26" s="1425">
        <f>'Purchase Order SCRAFT'!AH26</f>
        <v>0</v>
      </c>
      <c r="AI26" s="789">
        <f>'Purchase Order SCRAFT'!AI26</f>
        <v>0</v>
      </c>
    </row>
    <row r="27" spans="1:35" ht="31.5" customHeight="1" thickBot="1" x14ac:dyDescent="0.3">
      <c r="A27" s="760"/>
      <c r="B27" s="922"/>
      <c r="C27" s="923" t="s">
        <v>54</v>
      </c>
      <c r="D27" s="832">
        <f>'Purchase Order SCRAFT'!D27</f>
        <v>9</v>
      </c>
      <c r="E27" s="1426" t="s">
        <v>259</v>
      </c>
      <c r="F27" s="1427"/>
      <c r="G27" s="833">
        <f>IF(Form_Type="Frame",0,ROUNDUP((SUMPRODUCT(D7:D26,F7:F26,G7:G26)/1000000),2))</f>
        <v>20.630000000000003</v>
      </c>
      <c r="H27" s="834"/>
      <c r="I27" s="834"/>
      <c r="J27"/>
      <c r="K27"/>
      <c r="L27"/>
      <c r="M27"/>
      <c r="N27"/>
      <c r="O27" s="924" t="s">
        <v>353</v>
      </c>
      <c r="P27" s="925"/>
      <c r="Q27" s="835">
        <f>'Purchase Order SCRAFT'!Q27</f>
        <v>0</v>
      </c>
      <c r="W27" s="1428" t="s">
        <v>615</v>
      </c>
      <c r="X27" s="1429"/>
      <c r="Y27" s="926" t="s">
        <v>611</v>
      </c>
      <c r="Z27" s="836">
        <f>'Purchase Order SCRAFT'!Z27</f>
        <v>0</v>
      </c>
      <c r="AA27" s="927" t="s">
        <v>612</v>
      </c>
      <c r="AB27" s="835">
        <f>'Purchase Order SCRAFT'!AB27</f>
        <v>0</v>
      </c>
      <c r="AC27" s="756"/>
    </row>
    <row r="28" spans="1:35" ht="7.5" customHeight="1" thickBot="1" x14ac:dyDescent="0.3">
      <c r="A28" s="837"/>
      <c r="B28" s="838"/>
      <c r="C28" s="839"/>
      <c r="D28" s="840"/>
      <c r="E28" s="837"/>
      <c r="F28" s="837"/>
      <c r="G28" s="837"/>
      <c r="H28" s="837"/>
      <c r="I28" s="837"/>
      <c r="J28" s="837"/>
      <c r="K28" s="837"/>
      <c r="L28" s="837"/>
      <c r="M28" s="837"/>
      <c r="N28" s="837"/>
      <c r="O28" s="841"/>
      <c r="P28" s="755"/>
      <c r="Q28" s="755"/>
      <c r="R28" s="755"/>
      <c r="S28" s="755"/>
      <c r="T28" s="755"/>
      <c r="U28" s="755"/>
      <c r="V28" s="755"/>
      <c r="W28" s="755"/>
      <c r="X28" s="842"/>
      <c r="Y28" s="843"/>
      <c r="Z28" s="843"/>
      <c r="AA28" s="843"/>
      <c r="AB28" s="760"/>
    </row>
    <row r="29" spans="1:35" ht="15.95" customHeight="1" thickBot="1" x14ac:dyDescent="0.25">
      <c r="A29" s="1348" t="str">
        <f>IF(C3="op","",IF(Form_Type="EX","Other Options","POSTS"))</f>
        <v>POSTS</v>
      </c>
      <c r="B29" s="1349"/>
      <c r="C29" s="1349"/>
      <c r="D29" s="1349"/>
      <c r="E29" s="1349"/>
      <c r="F29" s="1349"/>
      <c r="G29" s="1349"/>
      <c r="H29" s="1349"/>
      <c r="I29" s="1349"/>
      <c r="J29" s="1349"/>
      <c r="K29" s="1349"/>
      <c r="L29" s="1349"/>
      <c r="M29" s="1349"/>
      <c r="N29" s="1349"/>
      <c r="O29" s="1349"/>
      <c r="P29" s="1349"/>
      <c r="Q29" s="1349"/>
      <c r="R29" s="1349"/>
      <c r="S29" s="1349"/>
      <c r="T29" s="1349"/>
      <c r="U29" s="1349"/>
      <c r="V29" s="1349"/>
      <c r="W29" s="1349"/>
      <c r="X29" s="1349"/>
      <c r="Y29" s="1349"/>
      <c r="Z29" s="1349"/>
      <c r="AA29" s="1349"/>
      <c r="AB29" s="1349"/>
      <c r="AC29" s="1349"/>
      <c r="AD29" s="1349"/>
      <c r="AE29" s="1350"/>
    </row>
    <row r="30" spans="1:35" ht="26.25" customHeight="1" thickBot="1" x14ac:dyDescent="0.25">
      <c r="A30" s="928" t="s">
        <v>7</v>
      </c>
      <c r="B30" s="914" t="s">
        <v>0</v>
      </c>
      <c r="C30" s="929" t="str">
        <f>IF(Form_Type="OP","N/A","Vertical T-Post Type")</f>
        <v>Vertical T-Post Type</v>
      </c>
      <c r="D30" s="1407" t="str">
        <f>IF(Form_Type="OP","N/A","Bay Post Type")</f>
        <v>Bay Post Type</v>
      </c>
      <c r="E30" s="1386"/>
      <c r="F30" s="1408" t="str">
        <f>IF(Form_Type="OP","N/A","Corner Post Type")</f>
        <v>Corner Post Type</v>
      </c>
      <c r="G30" s="1409"/>
      <c r="H30" s="930" t="s">
        <v>651</v>
      </c>
      <c r="I30" s="931" t="str">
        <f>IF(Form_Type="OP","N/A","1st position")</f>
        <v>1st position</v>
      </c>
      <c r="J30" s="931" t="str">
        <f>IF(Form_Type="OP","N/A","1st angle")</f>
        <v>1st angle</v>
      </c>
      <c r="K30" s="931" t="str">
        <f>IF(Form_Type="OP","N/A","2nd position")</f>
        <v>2nd position</v>
      </c>
      <c r="L30" s="931" t="str">
        <f>IF(Form_Type="OP","N/A","2nd angle")</f>
        <v>2nd angle</v>
      </c>
      <c r="M30" s="931" t="str">
        <f>IF(Form_Type="OP","N/A","3rd position")</f>
        <v>3rd position</v>
      </c>
      <c r="N30" s="931" t="str">
        <f>IF(Form_Type="OP","N/A","3rd angle")</f>
        <v>3rd angle</v>
      </c>
      <c r="O30" s="931" t="str">
        <f>IF(Form_Type="OP","N/A","4th position")</f>
        <v>4th position</v>
      </c>
      <c r="P30" s="931" t="str">
        <f>IF(Form_Type="OP","N/A","4th angle")</f>
        <v>4th angle</v>
      </c>
      <c r="Q30" s="931" t="str">
        <f>IF(Form_Type="OP","N/A","5th position")</f>
        <v>5th position</v>
      </c>
      <c r="R30" s="931" t="str">
        <f>IF(Form_Type="OP","N/A","5th angle")</f>
        <v>5th angle</v>
      </c>
      <c r="S30" s="931" t="str">
        <f>IF(Form_Type="OP","N/A","6th position")</f>
        <v>6th position</v>
      </c>
      <c r="T30" s="931" t="str">
        <f>IF(Form_Type="OP","N/A","6th angle")</f>
        <v>6th angle</v>
      </c>
      <c r="U30" s="931" t="str">
        <f>IF(Form_Type="OP","N/A","7th position")</f>
        <v>7th position</v>
      </c>
      <c r="V30" s="931" t="str">
        <f>IF(Form_Type="OP","N/A","7th angle")</f>
        <v>7th angle</v>
      </c>
      <c r="W30" s="931" t="str">
        <f>IF(Form_Type="OP","N/A","8th position")</f>
        <v>8th position</v>
      </c>
      <c r="X30" s="931" t="str">
        <f>IF(Form_Type="OP","N/A","8th angle")</f>
        <v>8th angle</v>
      </c>
      <c r="Y30" s="931" t="str">
        <f>IF(Form_Type="OP","N/A","9th position")</f>
        <v>9th position</v>
      </c>
      <c r="Z30" s="931" t="str">
        <f>IF(Form_Type="OP","N/A","9th angle")</f>
        <v>9th angle</v>
      </c>
      <c r="AA30" s="931" t="str">
        <f>IF(Form_Type="OP","N/A","10th position")</f>
        <v>10th position</v>
      </c>
      <c r="AB30" s="931" t="str">
        <f>IF(Form_Type="OP","N/A","10th angle")</f>
        <v>10th angle</v>
      </c>
      <c r="AC30" s="932" t="str">
        <f>IF(Form_Type="OP","N/A","Side Magnets")</f>
        <v>Side Magnets</v>
      </c>
      <c r="AD30" s="1410" t="s">
        <v>614</v>
      </c>
      <c r="AE30" s="1411"/>
    </row>
    <row r="31" spans="1:35" ht="15.95" customHeight="1" x14ac:dyDescent="0.2">
      <c r="A31" s="844">
        <v>1</v>
      </c>
      <c r="B31" s="778" t="str">
        <f>'Purchase Order SCRAFT'!B31</f>
        <v xml:space="preserve">Bed 2 </v>
      </c>
      <c r="C31" s="845" t="str">
        <f>'Purchase Order SCRAFT'!C31</f>
        <v>None</v>
      </c>
      <c r="D31" s="1412">
        <f>'Purchase Order SCRAFT'!D31</f>
        <v>0</v>
      </c>
      <c r="E31" s="1388">
        <f>'Purchase Order SCRAFT'!E31</f>
        <v>0</v>
      </c>
      <c r="F31" s="1413">
        <f>'Purchase Order SCRAFT'!F31</f>
        <v>0</v>
      </c>
      <c r="G31" s="1414">
        <f>'Purchase Order SCRAFT'!G31</f>
        <v>0</v>
      </c>
      <c r="H31" s="845">
        <f>'Purchase Order SCRAFT'!H31</f>
        <v>0</v>
      </c>
      <c r="I31" s="780">
        <f>'Purchase Order SCRAFT'!I31</f>
        <v>0</v>
      </c>
      <c r="J31" s="780">
        <f>'Purchase Order SCRAFT'!J31</f>
        <v>0</v>
      </c>
      <c r="K31" s="780">
        <f>'Purchase Order SCRAFT'!K31</f>
        <v>0</v>
      </c>
      <c r="L31" s="784">
        <f>'Purchase Order SCRAFT'!L31</f>
        <v>0</v>
      </c>
      <c r="M31" s="784">
        <f>'Purchase Order SCRAFT'!M31</f>
        <v>0</v>
      </c>
      <c r="N31" s="784">
        <f>'Purchase Order SCRAFT'!N31</f>
        <v>0</v>
      </c>
      <c r="O31" s="784">
        <f>'Purchase Order SCRAFT'!O31</f>
        <v>0</v>
      </c>
      <c r="P31" s="784">
        <f>'Purchase Order SCRAFT'!P31</f>
        <v>0</v>
      </c>
      <c r="Q31" s="784">
        <f>'Purchase Order SCRAFT'!Q31</f>
        <v>0</v>
      </c>
      <c r="R31" s="784">
        <f>'Purchase Order SCRAFT'!R31</f>
        <v>0</v>
      </c>
      <c r="S31" s="784">
        <f>'Purchase Order SCRAFT'!S31</f>
        <v>0</v>
      </c>
      <c r="T31" s="784">
        <f>'Purchase Order SCRAFT'!T31</f>
        <v>0</v>
      </c>
      <c r="U31" s="784">
        <f>'Purchase Order SCRAFT'!U31</f>
        <v>0</v>
      </c>
      <c r="V31" s="784">
        <f>'Purchase Order SCRAFT'!V31</f>
        <v>0</v>
      </c>
      <c r="W31" s="784">
        <f>'Purchase Order SCRAFT'!W31</f>
        <v>0</v>
      </c>
      <c r="X31" s="784">
        <f>'Purchase Order SCRAFT'!X31</f>
        <v>0</v>
      </c>
      <c r="Y31" s="784">
        <f>'Purchase Order SCRAFT'!Y31</f>
        <v>0</v>
      </c>
      <c r="Z31" s="784">
        <f>'Purchase Order SCRAFT'!Z31</f>
        <v>0</v>
      </c>
      <c r="AA31" s="784">
        <f>'Purchase Order SCRAFT'!AA31</f>
        <v>0</v>
      </c>
      <c r="AB31" s="784">
        <f>'Purchase Order SCRAFT'!AB31</f>
        <v>0</v>
      </c>
      <c r="AC31" s="848">
        <f>'Purchase Order SCRAFT'!AC31</f>
        <v>0</v>
      </c>
      <c r="AD31" s="1415">
        <f>'Purchase Order SCRAFT'!AD31</f>
        <v>0</v>
      </c>
      <c r="AE31" s="1416">
        <f>'Purchase Order SCRAFT'!AE31</f>
        <v>0</v>
      </c>
      <c r="AG31" s="849">
        <f>'Pricing and calculations'!O75</f>
        <v>4</v>
      </c>
    </row>
    <row r="32" spans="1:35" ht="15.95" customHeight="1" x14ac:dyDescent="0.2">
      <c r="A32" s="850">
        <v>2</v>
      </c>
      <c r="B32" s="791" t="str">
        <f>'Purchase Order SCRAFT'!B32</f>
        <v>Bed1</v>
      </c>
      <c r="C32" s="851" t="str">
        <f>'Purchase Order SCRAFT'!C32</f>
        <v>Trad T 46mm</v>
      </c>
      <c r="D32" s="1394">
        <f>'Purchase Order SCRAFT'!D32</f>
        <v>0</v>
      </c>
      <c r="E32" s="1352">
        <f>'Purchase Order SCRAFT'!E32</f>
        <v>0</v>
      </c>
      <c r="F32" s="1395">
        <f>'Purchase Order SCRAFT'!F32</f>
        <v>0</v>
      </c>
      <c r="G32" s="1396">
        <f>'Purchase Order SCRAFT'!G32</f>
        <v>0</v>
      </c>
      <c r="H32" s="851">
        <f>'Purchase Order SCRAFT'!H32</f>
        <v>0</v>
      </c>
      <c r="I32" s="793">
        <f>'Purchase Order SCRAFT'!I32</f>
        <v>585</v>
      </c>
      <c r="J32" s="793">
        <f>'Purchase Order SCRAFT'!J32</f>
        <v>0</v>
      </c>
      <c r="K32" s="793">
        <f>'Purchase Order SCRAFT'!K32</f>
        <v>2175</v>
      </c>
      <c r="L32" s="748">
        <f>'Purchase Order SCRAFT'!L32</f>
        <v>0</v>
      </c>
      <c r="M32" s="748">
        <f>'Purchase Order SCRAFT'!M32</f>
        <v>0</v>
      </c>
      <c r="N32" s="748">
        <f>'Purchase Order SCRAFT'!N32</f>
        <v>0</v>
      </c>
      <c r="O32" s="748">
        <f>'Purchase Order SCRAFT'!O32</f>
        <v>0</v>
      </c>
      <c r="P32" s="748">
        <f>'Purchase Order SCRAFT'!P32</f>
        <v>0</v>
      </c>
      <c r="Q32" s="748">
        <f>'Purchase Order SCRAFT'!Q32</f>
        <v>0</v>
      </c>
      <c r="R32" s="748">
        <f>'Purchase Order SCRAFT'!R32</f>
        <v>0</v>
      </c>
      <c r="S32" s="748">
        <f>'Purchase Order SCRAFT'!S32</f>
        <v>0</v>
      </c>
      <c r="T32" s="748">
        <f>'Purchase Order SCRAFT'!T32</f>
        <v>0</v>
      </c>
      <c r="U32" s="748">
        <f>'Purchase Order SCRAFT'!U32</f>
        <v>0</v>
      </c>
      <c r="V32" s="748">
        <f>'Purchase Order SCRAFT'!V32</f>
        <v>0</v>
      </c>
      <c r="W32" s="748">
        <f>'Purchase Order SCRAFT'!W32</f>
        <v>0</v>
      </c>
      <c r="X32" s="748">
        <f>'Purchase Order SCRAFT'!X32</f>
        <v>0</v>
      </c>
      <c r="Y32" s="748">
        <f>'Purchase Order SCRAFT'!Y32</f>
        <v>0</v>
      </c>
      <c r="Z32" s="748">
        <f>'Purchase Order SCRAFT'!Z32</f>
        <v>0</v>
      </c>
      <c r="AA32" s="748">
        <f>'Purchase Order SCRAFT'!AA32</f>
        <v>0</v>
      </c>
      <c r="AB32" s="748">
        <f>'Purchase Order SCRAFT'!AB32</f>
        <v>0</v>
      </c>
      <c r="AC32" s="853">
        <f>'Purchase Order SCRAFT'!AC32</f>
        <v>0</v>
      </c>
      <c r="AD32" s="1397">
        <f>'Purchase Order SCRAFT'!AD32</f>
        <v>0</v>
      </c>
      <c r="AE32" s="1398">
        <f>'Purchase Order SCRAFT'!AE32</f>
        <v>0</v>
      </c>
      <c r="AG32" s="849">
        <f>'Pricing and calculations'!O76</f>
        <v>4</v>
      </c>
    </row>
    <row r="33" spans="1:33" ht="15.95" customHeight="1" x14ac:dyDescent="0.2">
      <c r="A33" s="854">
        <v>3</v>
      </c>
      <c r="B33" s="801" t="str">
        <f>'Purchase Order SCRAFT'!B33</f>
        <v xml:space="preserve">Dressing Room </v>
      </c>
      <c r="C33" s="806" t="str">
        <f>'Purchase Order SCRAFT'!C33</f>
        <v>None</v>
      </c>
      <c r="D33" s="1389">
        <f>'Purchase Order SCRAFT'!D33</f>
        <v>0</v>
      </c>
      <c r="E33" s="1368">
        <f>'Purchase Order SCRAFT'!E33</f>
        <v>0</v>
      </c>
      <c r="F33" s="1390">
        <f>'Purchase Order SCRAFT'!F33</f>
        <v>0</v>
      </c>
      <c r="G33" s="1391">
        <f>'Purchase Order SCRAFT'!G33</f>
        <v>0</v>
      </c>
      <c r="H33" s="806">
        <f>'Purchase Order SCRAFT'!H33</f>
        <v>0</v>
      </c>
      <c r="I33" s="820">
        <f>'Purchase Order SCRAFT'!I33</f>
        <v>0</v>
      </c>
      <c r="J33" s="820">
        <f>'Purchase Order SCRAFT'!J33</f>
        <v>0</v>
      </c>
      <c r="K33" s="820">
        <f>'Purchase Order SCRAFT'!K33</f>
        <v>0</v>
      </c>
      <c r="L33" s="749">
        <f>'Purchase Order SCRAFT'!L33</f>
        <v>0</v>
      </c>
      <c r="M33" s="749">
        <f>'Purchase Order SCRAFT'!M33</f>
        <v>0</v>
      </c>
      <c r="N33" s="749">
        <f>'Purchase Order SCRAFT'!N33</f>
        <v>0</v>
      </c>
      <c r="O33" s="749">
        <f>'Purchase Order SCRAFT'!O33</f>
        <v>0</v>
      </c>
      <c r="P33" s="749">
        <f>'Purchase Order SCRAFT'!P33</f>
        <v>0</v>
      </c>
      <c r="Q33" s="749">
        <f>'Purchase Order SCRAFT'!Q33</f>
        <v>0</v>
      </c>
      <c r="R33" s="749">
        <f>'Purchase Order SCRAFT'!R33</f>
        <v>0</v>
      </c>
      <c r="S33" s="749">
        <f>'Purchase Order SCRAFT'!S33</f>
        <v>0</v>
      </c>
      <c r="T33" s="749">
        <f>'Purchase Order SCRAFT'!T33</f>
        <v>0</v>
      </c>
      <c r="U33" s="749">
        <f>'Purchase Order SCRAFT'!U33</f>
        <v>0</v>
      </c>
      <c r="V33" s="749">
        <f>'Purchase Order SCRAFT'!V33</f>
        <v>0</v>
      </c>
      <c r="W33" s="749">
        <f>'Purchase Order SCRAFT'!W33</f>
        <v>0</v>
      </c>
      <c r="X33" s="749">
        <f>'Purchase Order SCRAFT'!X33</f>
        <v>0</v>
      </c>
      <c r="Y33" s="749">
        <f>'Purchase Order SCRAFT'!Y33</f>
        <v>0</v>
      </c>
      <c r="Z33" s="749">
        <f>'Purchase Order SCRAFT'!Z33</f>
        <v>0</v>
      </c>
      <c r="AA33" s="749">
        <f>'Purchase Order SCRAFT'!AA33</f>
        <v>0</v>
      </c>
      <c r="AB33" s="749">
        <f>'Purchase Order SCRAFT'!AB33</f>
        <v>0</v>
      </c>
      <c r="AC33" s="856">
        <f>'Purchase Order SCRAFT'!AC33</f>
        <v>0</v>
      </c>
      <c r="AD33" s="1392">
        <f>'Purchase Order SCRAFT'!AD33</f>
        <v>0</v>
      </c>
      <c r="AE33" s="1393">
        <f>'Purchase Order SCRAFT'!AE33</f>
        <v>0</v>
      </c>
      <c r="AG33" s="849">
        <f>'Pricing and calculations'!O77</f>
        <v>4</v>
      </c>
    </row>
    <row r="34" spans="1:33" ht="15.95" customHeight="1" x14ac:dyDescent="0.2">
      <c r="A34" s="850">
        <v>4</v>
      </c>
      <c r="B34" s="791" t="str">
        <f>'Purchase Order SCRAFT'!B34</f>
        <v xml:space="preserve">Front Door Panels </v>
      </c>
      <c r="C34" s="851" t="str">
        <f>'Purchase Order SCRAFT'!C34</f>
        <v>None</v>
      </c>
      <c r="D34" s="1394">
        <f>'Purchase Order SCRAFT'!D34</f>
        <v>0</v>
      </c>
      <c r="E34" s="1352">
        <f>'Purchase Order SCRAFT'!E34</f>
        <v>0</v>
      </c>
      <c r="F34" s="1395">
        <f>'Purchase Order SCRAFT'!F34</f>
        <v>0</v>
      </c>
      <c r="G34" s="1396">
        <f>'Purchase Order SCRAFT'!G34</f>
        <v>0</v>
      </c>
      <c r="H34" s="851">
        <f>'Purchase Order SCRAFT'!H34</f>
        <v>0</v>
      </c>
      <c r="I34" s="793">
        <f>'Purchase Order SCRAFT'!I34</f>
        <v>0</v>
      </c>
      <c r="J34" s="793">
        <f>'Purchase Order SCRAFT'!J34</f>
        <v>0</v>
      </c>
      <c r="K34" s="793">
        <f>'Purchase Order SCRAFT'!K34</f>
        <v>0</v>
      </c>
      <c r="L34" s="748">
        <f>'Purchase Order SCRAFT'!L34</f>
        <v>0</v>
      </c>
      <c r="M34" s="748">
        <f>'Purchase Order SCRAFT'!M34</f>
        <v>0</v>
      </c>
      <c r="N34" s="748">
        <f>'Purchase Order SCRAFT'!N34</f>
        <v>0</v>
      </c>
      <c r="O34" s="748">
        <f>'Purchase Order SCRAFT'!O34</f>
        <v>0</v>
      </c>
      <c r="P34" s="748">
        <f>'Purchase Order SCRAFT'!P34</f>
        <v>0</v>
      </c>
      <c r="Q34" s="748">
        <f>'Purchase Order SCRAFT'!Q34</f>
        <v>0</v>
      </c>
      <c r="R34" s="748">
        <f>'Purchase Order SCRAFT'!R34</f>
        <v>0</v>
      </c>
      <c r="S34" s="748">
        <f>'Purchase Order SCRAFT'!S34</f>
        <v>0</v>
      </c>
      <c r="T34" s="748">
        <f>'Purchase Order SCRAFT'!T34</f>
        <v>0</v>
      </c>
      <c r="U34" s="748">
        <f>'Purchase Order SCRAFT'!U34</f>
        <v>0</v>
      </c>
      <c r="V34" s="748">
        <f>'Purchase Order SCRAFT'!V34</f>
        <v>0</v>
      </c>
      <c r="W34" s="748">
        <f>'Purchase Order SCRAFT'!W34</f>
        <v>0</v>
      </c>
      <c r="X34" s="748">
        <f>'Purchase Order SCRAFT'!X34</f>
        <v>0</v>
      </c>
      <c r="Y34" s="748">
        <f>'Purchase Order SCRAFT'!Y34</f>
        <v>0</v>
      </c>
      <c r="Z34" s="748">
        <f>'Purchase Order SCRAFT'!Z34</f>
        <v>0</v>
      </c>
      <c r="AA34" s="748">
        <f>'Purchase Order SCRAFT'!AA34</f>
        <v>0</v>
      </c>
      <c r="AB34" s="748">
        <f>'Purchase Order SCRAFT'!AB34</f>
        <v>0</v>
      </c>
      <c r="AC34" s="853">
        <f>'Purchase Order SCRAFT'!AC34</f>
        <v>0</v>
      </c>
      <c r="AD34" s="1397">
        <f>'Purchase Order SCRAFT'!AD34</f>
        <v>0</v>
      </c>
      <c r="AE34" s="1398">
        <f>'Purchase Order SCRAFT'!AE34</f>
        <v>0</v>
      </c>
      <c r="AG34" s="849">
        <f>'Pricing and calculations'!O78</f>
        <v>4</v>
      </c>
    </row>
    <row r="35" spans="1:33" ht="15.95" customHeight="1" x14ac:dyDescent="0.2">
      <c r="A35" s="857">
        <v>5</v>
      </c>
      <c r="B35" s="814" t="str">
        <f>'Purchase Order SCRAFT'!B35</f>
        <v xml:space="preserve">Front Door Panels </v>
      </c>
      <c r="C35" s="858" t="str">
        <f>'Purchase Order SCRAFT'!C35</f>
        <v>None</v>
      </c>
      <c r="D35" s="1402">
        <f>'Purchase Order SCRAFT'!D35</f>
        <v>0</v>
      </c>
      <c r="E35" s="1366">
        <f>'Purchase Order SCRAFT'!E35</f>
        <v>0</v>
      </c>
      <c r="F35" s="1403">
        <f>'Purchase Order SCRAFT'!F35</f>
        <v>0</v>
      </c>
      <c r="G35" s="1404">
        <f>'Purchase Order SCRAFT'!G35</f>
        <v>0</v>
      </c>
      <c r="H35" s="858">
        <f>'Purchase Order SCRAFT'!H35</f>
        <v>0</v>
      </c>
      <c r="I35" s="816">
        <f>'Purchase Order SCRAFT'!I35</f>
        <v>0</v>
      </c>
      <c r="J35" s="816">
        <f>'Purchase Order SCRAFT'!J35</f>
        <v>0</v>
      </c>
      <c r="K35" s="816">
        <f>'Purchase Order SCRAFT'!K35</f>
        <v>0</v>
      </c>
      <c r="L35" s="859">
        <f>'Purchase Order SCRAFT'!L35</f>
        <v>0</v>
      </c>
      <c r="M35" s="859">
        <f>'Purchase Order SCRAFT'!M35</f>
        <v>0</v>
      </c>
      <c r="N35" s="859">
        <f>'Purchase Order SCRAFT'!N35</f>
        <v>0</v>
      </c>
      <c r="O35" s="859">
        <f>'Purchase Order SCRAFT'!O35</f>
        <v>0</v>
      </c>
      <c r="P35" s="859">
        <f>'Purchase Order SCRAFT'!P35</f>
        <v>0</v>
      </c>
      <c r="Q35" s="859">
        <f>'Purchase Order SCRAFT'!Q35</f>
        <v>0</v>
      </c>
      <c r="R35" s="859">
        <f>'Purchase Order SCRAFT'!R35</f>
        <v>0</v>
      </c>
      <c r="S35" s="859">
        <f>'Purchase Order SCRAFT'!S35</f>
        <v>0</v>
      </c>
      <c r="T35" s="859">
        <f>'Purchase Order SCRAFT'!T35</f>
        <v>0</v>
      </c>
      <c r="U35" s="859">
        <f>'Purchase Order SCRAFT'!U35</f>
        <v>0</v>
      </c>
      <c r="V35" s="859">
        <f>'Purchase Order SCRAFT'!V35</f>
        <v>0</v>
      </c>
      <c r="W35" s="859">
        <f>'Purchase Order SCRAFT'!W35</f>
        <v>0</v>
      </c>
      <c r="X35" s="859">
        <f>'Purchase Order SCRAFT'!X35</f>
        <v>0</v>
      </c>
      <c r="Y35" s="859">
        <f>'Purchase Order SCRAFT'!Y35</f>
        <v>0</v>
      </c>
      <c r="Z35" s="859">
        <f>'Purchase Order SCRAFT'!Z35</f>
        <v>0</v>
      </c>
      <c r="AA35" s="859">
        <f>'Purchase Order SCRAFT'!AA35</f>
        <v>0</v>
      </c>
      <c r="AB35" s="859">
        <f>'Purchase Order SCRAFT'!AB35</f>
        <v>0</v>
      </c>
      <c r="AC35" s="860">
        <f>'Purchase Order SCRAFT'!AC35</f>
        <v>0</v>
      </c>
      <c r="AD35" s="1405">
        <f>'Purchase Order SCRAFT'!AD35</f>
        <v>0</v>
      </c>
      <c r="AE35" s="1406">
        <f>'Purchase Order SCRAFT'!AE35</f>
        <v>0</v>
      </c>
      <c r="AG35" s="849">
        <f>'Pricing and calculations'!O79</f>
        <v>4</v>
      </c>
    </row>
    <row r="36" spans="1:33" ht="15.95" customHeight="1" x14ac:dyDescent="0.2">
      <c r="A36" s="850">
        <v>6</v>
      </c>
      <c r="B36" s="791" t="str">
        <f>'Purchase Order SCRAFT'!B36</f>
        <v>Study</v>
      </c>
      <c r="C36" s="851" t="str">
        <f>'Purchase Order SCRAFT'!C36</f>
        <v>None</v>
      </c>
      <c r="D36" s="1394">
        <f>'Purchase Order SCRAFT'!D36</f>
        <v>0</v>
      </c>
      <c r="E36" s="1352">
        <f>'Purchase Order SCRAFT'!E36</f>
        <v>0</v>
      </c>
      <c r="F36" s="1395">
        <f>'Purchase Order SCRAFT'!F36</f>
        <v>0</v>
      </c>
      <c r="G36" s="1396">
        <f>'Purchase Order SCRAFT'!G36</f>
        <v>0</v>
      </c>
      <c r="H36" s="851">
        <f>'Purchase Order SCRAFT'!H36</f>
        <v>0</v>
      </c>
      <c r="I36" s="793">
        <f>'Purchase Order SCRAFT'!I36</f>
        <v>0</v>
      </c>
      <c r="J36" s="793">
        <f>'Purchase Order SCRAFT'!J36</f>
        <v>0</v>
      </c>
      <c r="K36" s="793">
        <f>'Purchase Order SCRAFT'!K36</f>
        <v>0</v>
      </c>
      <c r="L36" s="748">
        <f>'Purchase Order SCRAFT'!L36</f>
        <v>0</v>
      </c>
      <c r="M36" s="748">
        <f>'Purchase Order SCRAFT'!M36</f>
        <v>0</v>
      </c>
      <c r="N36" s="748">
        <f>'Purchase Order SCRAFT'!N36</f>
        <v>0</v>
      </c>
      <c r="O36" s="748">
        <f>'Purchase Order SCRAFT'!O36</f>
        <v>0</v>
      </c>
      <c r="P36" s="748">
        <f>'Purchase Order SCRAFT'!P36</f>
        <v>0</v>
      </c>
      <c r="Q36" s="748">
        <f>'Purchase Order SCRAFT'!Q36</f>
        <v>0</v>
      </c>
      <c r="R36" s="748">
        <f>'Purchase Order SCRAFT'!R36</f>
        <v>0</v>
      </c>
      <c r="S36" s="748">
        <f>'Purchase Order SCRAFT'!S36</f>
        <v>0</v>
      </c>
      <c r="T36" s="748">
        <f>'Purchase Order SCRAFT'!T36</f>
        <v>0</v>
      </c>
      <c r="U36" s="748">
        <f>'Purchase Order SCRAFT'!U36</f>
        <v>0</v>
      </c>
      <c r="V36" s="748">
        <f>'Purchase Order SCRAFT'!V36</f>
        <v>0</v>
      </c>
      <c r="W36" s="748">
        <f>'Purchase Order SCRAFT'!W36</f>
        <v>0</v>
      </c>
      <c r="X36" s="748">
        <f>'Purchase Order SCRAFT'!X36</f>
        <v>0</v>
      </c>
      <c r="Y36" s="748">
        <f>'Purchase Order SCRAFT'!Y36</f>
        <v>0</v>
      </c>
      <c r="Z36" s="748">
        <f>'Purchase Order SCRAFT'!Z36</f>
        <v>0</v>
      </c>
      <c r="AA36" s="748">
        <f>'Purchase Order SCRAFT'!AA36</f>
        <v>0</v>
      </c>
      <c r="AB36" s="748">
        <f>'Purchase Order SCRAFT'!AB36</f>
        <v>0</v>
      </c>
      <c r="AC36" s="853">
        <f>'Purchase Order SCRAFT'!AC36</f>
        <v>0</v>
      </c>
      <c r="AD36" s="1397">
        <f>'Purchase Order SCRAFT'!AD36</f>
        <v>0</v>
      </c>
      <c r="AE36" s="1398">
        <f>'Purchase Order SCRAFT'!AE36</f>
        <v>0</v>
      </c>
      <c r="AG36" s="849">
        <f>'Pricing and calculations'!O80</f>
        <v>3</v>
      </c>
    </row>
    <row r="37" spans="1:33" ht="15.95" customHeight="1" x14ac:dyDescent="0.2">
      <c r="A37" s="854">
        <v>7</v>
      </c>
      <c r="B37" s="801" t="str">
        <f>'Purchase Order SCRAFT'!B37</f>
        <v>Study</v>
      </c>
      <c r="C37" s="806" t="str">
        <f>'Purchase Order SCRAFT'!C37</f>
        <v>None</v>
      </c>
      <c r="D37" s="1389">
        <f>'Purchase Order SCRAFT'!D37</f>
        <v>0</v>
      </c>
      <c r="E37" s="1368">
        <f>'Purchase Order SCRAFT'!E37</f>
        <v>0</v>
      </c>
      <c r="F37" s="1390">
        <f>'Purchase Order SCRAFT'!F37</f>
        <v>0</v>
      </c>
      <c r="G37" s="1391">
        <f>'Purchase Order SCRAFT'!G37</f>
        <v>0</v>
      </c>
      <c r="H37" s="806">
        <f>'Purchase Order SCRAFT'!H37</f>
        <v>0</v>
      </c>
      <c r="I37" s="820">
        <f>'Purchase Order SCRAFT'!I37</f>
        <v>0</v>
      </c>
      <c r="J37" s="820">
        <f>'Purchase Order SCRAFT'!J37</f>
        <v>0</v>
      </c>
      <c r="K37" s="820">
        <f>'Purchase Order SCRAFT'!K37</f>
        <v>0</v>
      </c>
      <c r="L37" s="749">
        <f>'Purchase Order SCRAFT'!L37</f>
        <v>0</v>
      </c>
      <c r="M37" s="749">
        <f>'Purchase Order SCRAFT'!M37</f>
        <v>0</v>
      </c>
      <c r="N37" s="749">
        <f>'Purchase Order SCRAFT'!N37</f>
        <v>0</v>
      </c>
      <c r="O37" s="749">
        <f>'Purchase Order SCRAFT'!O37</f>
        <v>0</v>
      </c>
      <c r="P37" s="749">
        <f>'Purchase Order SCRAFT'!P37</f>
        <v>0</v>
      </c>
      <c r="Q37" s="749">
        <f>'Purchase Order SCRAFT'!Q37</f>
        <v>0</v>
      </c>
      <c r="R37" s="749">
        <f>'Purchase Order SCRAFT'!R37</f>
        <v>0</v>
      </c>
      <c r="S37" s="749">
        <f>'Purchase Order SCRAFT'!S37</f>
        <v>0</v>
      </c>
      <c r="T37" s="749">
        <f>'Purchase Order SCRAFT'!T37</f>
        <v>0</v>
      </c>
      <c r="U37" s="749">
        <f>'Purchase Order SCRAFT'!U37</f>
        <v>0</v>
      </c>
      <c r="V37" s="749">
        <f>'Purchase Order SCRAFT'!V37</f>
        <v>0</v>
      </c>
      <c r="W37" s="749">
        <f>'Purchase Order SCRAFT'!W37</f>
        <v>0</v>
      </c>
      <c r="X37" s="749">
        <f>'Purchase Order SCRAFT'!X37</f>
        <v>0</v>
      </c>
      <c r="Y37" s="749">
        <f>'Purchase Order SCRAFT'!Y37</f>
        <v>0</v>
      </c>
      <c r="Z37" s="749">
        <f>'Purchase Order SCRAFT'!Z37</f>
        <v>0</v>
      </c>
      <c r="AA37" s="749">
        <f>'Purchase Order SCRAFT'!AA37</f>
        <v>0</v>
      </c>
      <c r="AB37" s="749">
        <f>'Purchase Order SCRAFT'!AB37</f>
        <v>0</v>
      </c>
      <c r="AC37" s="856">
        <f>'Purchase Order SCRAFT'!AC37</f>
        <v>0</v>
      </c>
      <c r="AD37" s="1392">
        <f>'Purchase Order SCRAFT'!AD37</f>
        <v>0</v>
      </c>
      <c r="AE37" s="1393">
        <f>'Purchase Order SCRAFT'!AE37</f>
        <v>0</v>
      </c>
      <c r="AG37" s="849">
        <f>'Pricing and calculations'!O81</f>
        <v>3</v>
      </c>
    </row>
    <row r="38" spans="1:33" ht="15.95" customHeight="1" x14ac:dyDescent="0.2">
      <c r="A38" s="850">
        <v>8</v>
      </c>
      <c r="B38" s="791" t="str">
        <f>'Purchase Order SCRAFT'!B38</f>
        <v xml:space="preserve">Living Room </v>
      </c>
      <c r="C38" s="851" t="str">
        <f>'Purchase Order SCRAFT'!C38</f>
        <v>None</v>
      </c>
      <c r="D38" s="1394">
        <f>'Purchase Order SCRAFT'!D38</f>
        <v>0</v>
      </c>
      <c r="E38" s="1352">
        <f>'Purchase Order SCRAFT'!E38</f>
        <v>0</v>
      </c>
      <c r="F38" s="1395">
        <f>'Purchase Order SCRAFT'!F38</f>
        <v>0</v>
      </c>
      <c r="G38" s="1396">
        <f>'Purchase Order SCRAFT'!G38</f>
        <v>0</v>
      </c>
      <c r="H38" s="851">
        <f>'Purchase Order SCRAFT'!H38</f>
        <v>0</v>
      </c>
      <c r="I38" s="793">
        <f>'Purchase Order SCRAFT'!I38</f>
        <v>0</v>
      </c>
      <c r="J38" s="793">
        <f>'Purchase Order SCRAFT'!J38</f>
        <v>0</v>
      </c>
      <c r="K38" s="793">
        <f>'Purchase Order SCRAFT'!K38</f>
        <v>0</v>
      </c>
      <c r="L38" s="748">
        <f>'Purchase Order SCRAFT'!L38</f>
        <v>0</v>
      </c>
      <c r="M38" s="748">
        <f>'Purchase Order SCRAFT'!M38</f>
        <v>0</v>
      </c>
      <c r="N38" s="748">
        <f>'Purchase Order SCRAFT'!N38</f>
        <v>0</v>
      </c>
      <c r="O38" s="748">
        <f>'Purchase Order SCRAFT'!O38</f>
        <v>0</v>
      </c>
      <c r="P38" s="748">
        <f>'Purchase Order SCRAFT'!P38</f>
        <v>0</v>
      </c>
      <c r="Q38" s="748">
        <f>'Purchase Order SCRAFT'!Q38</f>
        <v>0</v>
      </c>
      <c r="R38" s="748">
        <f>'Purchase Order SCRAFT'!R38</f>
        <v>0</v>
      </c>
      <c r="S38" s="748">
        <f>'Purchase Order SCRAFT'!S38</f>
        <v>0</v>
      </c>
      <c r="T38" s="748">
        <f>'Purchase Order SCRAFT'!T38</f>
        <v>0</v>
      </c>
      <c r="U38" s="748">
        <f>'Purchase Order SCRAFT'!U38</f>
        <v>0</v>
      </c>
      <c r="V38" s="748">
        <f>'Purchase Order SCRAFT'!V38</f>
        <v>0</v>
      </c>
      <c r="W38" s="748">
        <f>'Purchase Order SCRAFT'!W38</f>
        <v>0</v>
      </c>
      <c r="X38" s="748">
        <f>'Purchase Order SCRAFT'!X38</f>
        <v>0</v>
      </c>
      <c r="Y38" s="748">
        <f>'Purchase Order SCRAFT'!Y38</f>
        <v>0</v>
      </c>
      <c r="Z38" s="748">
        <f>'Purchase Order SCRAFT'!Z38</f>
        <v>0</v>
      </c>
      <c r="AA38" s="748">
        <f>'Purchase Order SCRAFT'!AA38</f>
        <v>0</v>
      </c>
      <c r="AB38" s="748">
        <f>'Purchase Order SCRAFT'!AB38</f>
        <v>0</v>
      </c>
      <c r="AC38" s="853">
        <f>'Purchase Order SCRAFT'!AC38</f>
        <v>0</v>
      </c>
      <c r="AD38" s="1397">
        <f>'Purchase Order SCRAFT'!AD38</f>
        <v>0</v>
      </c>
      <c r="AE38" s="1398">
        <f>'Purchase Order SCRAFT'!AE38</f>
        <v>0</v>
      </c>
      <c r="AG38" s="849">
        <f>'Pricing and calculations'!O82</f>
        <v>4</v>
      </c>
    </row>
    <row r="39" spans="1:33" ht="15.95" customHeight="1" x14ac:dyDescent="0.2">
      <c r="A39" s="857">
        <v>9</v>
      </c>
      <c r="B39" s="814" t="str">
        <f>'Purchase Order SCRAFT'!B39</f>
        <v>Utility</v>
      </c>
      <c r="C39" s="858" t="str">
        <f>'Purchase Order SCRAFT'!C39</f>
        <v>None</v>
      </c>
      <c r="D39" s="1402">
        <f>'Purchase Order SCRAFT'!D39</f>
        <v>0</v>
      </c>
      <c r="E39" s="1366">
        <f>'Purchase Order SCRAFT'!E39</f>
        <v>0</v>
      </c>
      <c r="F39" s="1403">
        <f>'Purchase Order SCRAFT'!F39</f>
        <v>0</v>
      </c>
      <c r="G39" s="1404">
        <f>'Purchase Order SCRAFT'!G39</f>
        <v>0</v>
      </c>
      <c r="H39" s="858">
        <f>'Purchase Order SCRAFT'!H39</f>
        <v>0</v>
      </c>
      <c r="I39" s="816">
        <f>'Purchase Order SCRAFT'!I39</f>
        <v>0</v>
      </c>
      <c r="J39" s="816">
        <f>'Purchase Order SCRAFT'!J39</f>
        <v>0</v>
      </c>
      <c r="K39" s="816">
        <f>'Purchase Order SCRAFT'!K39</f>
        <v>0</v>
      </c>
      <c r="L39" s="859">
        <f>'Purchase Order SCRAFT'!L39</f>
        <v>0</v>
      </c>
      <c r="M39" s="859">
        <f>'Purchase Order SCRAFT'!M39</f>
        <v>0</v>
      </c>
      <c r="N39" s="859">
        <f>'Purchase Order SCRAFT'!N39</f>
        <v>0</v>
      </c>
      <c r="O39" s="859">
        <f>'Purchase Order SCRAFT'!O39</f>
        <v>0</v>
      </c>
      <c r="P39" s="859">
        <f>'Purchase Order SCRAFT'!P39</f>
        <v>0</v>
      </c>
      <c r="Q39" s="859">
        <f>'Purchase Order SCRAFT'!Q39</f>
        <v>0</v>
      </c>
      <c r="R39" s="859">
        <f>'Purchase Order SCRAFT'!R39</f>
        <v>0</v>
      </c>
      <c r="S39" s="859">
        <f>'Purchase Order SCRAFT'!S39</f>
        <v>0</v>
      </c>
      <c r="T39" s="859">
        <f>'Purchase Order SCRAFT'!T39</f>
        <v>0</v>
      </c>
      <c r="U39" s="859">
        <f>'Purchase Order SCRAFT'!U39</f>
        <v>0</v>
      </c>
      <c r="V39" s="859">
        <f>'Purchase Order SCRAFT'!V39</f>
        <v>0</v>
      </c>
      <c r="W39" s="859">
        <f>'Purchase Order SCRAFT'!W39</f>
        <v>0</v>
      </c>
      <c r="X39" s="859">
        <f>'Purchase Order SCRAFT'!X39</f>
        <v>0</v>
      </c>
      <c r="Y39" s="859">
        <f>'Purchase Order SCRAFT'!Y39</f>
        <v>0</v>
      </c>
      <c r="Z39" s="859">
        <f>'Purchase Order SCRAFT'!Z39</f>
        <v>0</v>
      </c>
      <c r="AA39" s="859">
        <f>'Purchase Order SCRAFT'!AA39</f>
        <v>0</v>
      </c>
      <c r="AB39" s="859">
        <f>'Purchase Order SCRAFT'!AB39</f>
        <v>0</v>
      </c>
      <c r="AC39" s="860">
        <f>'Purchase Order SCRAFT'!AC39</f>
        <v>0</v>
      </c>
      <c r="AD39" s="1405">
        <f>'Purchase Order SCRAFT'!AD39</f>
        <v>0</v>
      </c>
      <c r="AE39" s="1406">
        <f>'Purchase Order SCRAFT'!AE39</f>
        <v>0</v>
      </c>
      <c r="AG39" s="849">
        <f>'Pricing and calculations'!O83</f>
        <v>4</v>
      </c>
    </row>
    <row r="40" spans="1:33" ht="15.95" customHeight="1" x14ac:dyDescent="0.2">
      <c r="A40" s="850">
        <v>10</v>
      </c>
      <c r="B40" s="791" t="str">
        <f>'Purchase Order SCRAFT'!B40</f>
        <v xml:space="preserve"> </v>
      </c>
      <c r="C40" s="851" t="str">
        <f>'Purchase Order SCRAFT'!C40</f>
        <v>None</v>
      </c>
      <c r="D40" s="1394">
        <f>'Purchase Order SCRAFT'!D40</f>
        <v>0</v>
      </c>
      <c r="E40" s="1352">
        <f>'Purchase Order SCRAFT'!E40</f>
        <v>0</v>
      </c>
      <c r="F40" s="1395">
        <f>'Purchase Order SCRAFT'!F40</f>
        <v>0</v>
      </c>
      <c r="G40" s="1396">
        <f>'Purchase Order SCRAFT'!G40</f>
        <v>0</v>
      </c>
      <c r="H40" s="851">
        <f>'Purchase Order SCRAFT'!H40</f>
        <v>0</v>
      </c>
      <c r="I40" s="793">
        <f>'Purchase Order SCRAFT'!I40</f>
        <v>0</v>
      </c>
      <c r="J40" s="793">
        <f>'Purchase Order SCRAFT'!J40</f>
        <v>0</v>
      </c>
      <c r="K40" s="793">
        <f>'Purchase Order SCRAFT'!K40</f>
        <v>0</v>
      </c>
      <c r="L40" s="748">
        <f>'Purchase Order SCRAFT'!L40</f>
        <v>0</v>
      </c>
      <c r="M40" s="748">
        <f>'Purchase Order SCRAFT'!M40</f>
        <v>0</v>
      </c>
      <c r="N40" s="748">
        <f>'Purchase Order SCRAFT'!N40</f>
        <v>0</v>
      </c>
      <c r="O40" s="748">
        <f>'Purchase Order SCRAFT'!O40</f>
        <v>0</v>
      </c>
      <c r="P40" s="748">
        <f>'Purchase Order SCRAFT'!P40</f>
        <v>0</v>
      </c>
      <c r="Q40" s="748">
        <f>'Purchase Order SCRAFT'!Q40</f>
        <v>0</v>
      </c>
      <c r="R40" s="748">
        <f>'Purchase Order SCRAFT'!R40</f>
        <v>0</v>
      </c>
      <c r="S40" s="748">
        <f>'Purchase Order SCRAFT'!S40</f>
        <v>0</v>
      </c>
      <c r="T40" s="748">
        <f>'Purchase Order SCRAFT'!T40</f>
        <v>0</v>
      </c>
      <c r="U40" s="748">
        <f>'Purchase Order SCRAFT'!U40</f>
        <v>0</v>
      </c>
      <c r="V40" s="748">
        <f>'Purchase Order SCRAFT'!V40</f>
        <v>0</v>
      </c>
      <c r="W40" s="748">
        <f>'Purchase Order SCRAFT'!W40</f>
        <v>0</v>
      </c>
      <c r="X40" s="748">
        <f>'Purchase Order SCRAFT'!X40</f>
        <v>0</v>
      </c>
      <c r="Y40" s="748">
        <f>'Purchase Order SCRAFT'!Y40</f>
        <v>0</v>
      </c>
      <c r="Z40" s="748">
        <f>'Purchase Order SCRAFT'!Z40</f>
        <v>0</v>
      </c>
      <c r="AA40" s="748">
        <f>'Purchase Order SCRAFT'!AA40</f>
        <v>0</v>
      </c>
      <c r="AB40" s="748">
        <f>'Purchase Order SCRAFT'!AB40</f>
        <v>0</v>
      </c>
      <c r="AC40" s="853">
        <f>'Purchase Order SCRAFT'!AC40</f>
        <v>0</v>
      </c>
      <c r="AD40" s="1397">
        <f>'Purchase Order SCRAFT'!AD40</f>
        <v>0</v>
      </c>
      <c r="AE40" s="1398">
        <f>'Purchase Order SCRAFT'!AE40</f>
        <v>0</v>
      </c>
      <c r="AG40" s="849">
        <f>'Pricing and calculations'!O84</f>
        <v>0</v>
      </c>
    </row>
    <row r="41" spans="1:33" ht="15.95" customHeight="1" x14ac:dyDescent="0.2">
      <c r="A41" s="854">
        <v>11</v>
      </c>
      <c r="B41" s="801" t="str">
        <f>'Purchase Order SCRAFT'!B41</f>
        <v xml:space="preserve"> </v>
      </c>
      <c r="C41" s="806" t="str">
        <f>'Purchase Order SCRAFT'!C41</f>
        <v>None</v>
      </c>
      <c r="D41" s="1389">
        <f>'Purchase Order SCRAFT'!D41</f>
        <v>0</v>
      </c>
      <c r="E41" s="1368">
        <f>'Purchase Order SCRAFT'!E41</f>
        <v>0</v>
      </c>
      <c r="F41" s="1390">
        <f>'Purchase Order SCRAFT'!F41</f>
        <v>0</v>
      </c>
      <c r="G41" s="1391">
        <f>'Purchase Order SCRAFT'!G41</f>
        <v>0</v>
      </c>
      <c r="H41" s="806">
        <f>'Purchase Order SCRAFT'!H41</f>
        <v>0</v>
      </c>
      <c r="I41" s="820">
        <f>'Purchase Order SCRAFT'!I41</f>
        <v>0</v>
      </c>
      <c r="J41" s="820">
        <f>'Purchase Order SCRAFT'!J41</f>
        <v>0</v>
      </c>
      <c r="K41" s="820">
        <f>'Purchase Order SCRAFT'!K41</f>
        <v>0</v>
      </c>
      <c r="L41" s="749">
        <f>'Purchase Order SCRAFT'!L41</f>
        <v>0</v>
      </c>
      <c r="M41" s="749">
        <f>'Purchase Order SCRAFT'!M41</f>
        <v>0</v>
      </c>
      <c r="N41" s="749">
        <f>'Purchase Order SCRAFT'!N41</f>
        <v>0</v>
      </c>
      <c r="O41" s="749">
        <f>'Purchase Order SCRAFT'!O41</f>
        <v>0</v>
      </c>
      <c r="P41" s="749">
        <f>'Purchase Order SCRAFT'!P41</f>
        <v>0</v>
      </c>
      <c r="Q41" s="749">
        <f>'Purchase Order SCRAFT'!Q41</f>
        <v>0</v>
      </c>
      <c r="R41" s="749">
        <f>'Purchase Order SCRAFT'!R41</f>
        <v>0</v>
      </c>
      <c r="S41" s="749">
        <f>'Purchase Order SCRAFT'!S41</f>
        <v>0</v>
      </c>
      <c r="T41" s="749">
        <f>'Purchase Order SCRAFT'!T41</f>
        <v>0</v>
      </c>
      <c r="U41" s="749">
        <f>'Purchase Order SCRAFT'!U41</f>
        <v>0</v>
      </c>
      <c r="V41" s="749">
        <f>'Purchase Order SCRAFT'!V41</f>
        <v>0</v>
      </c>
      <c r="W41" s="749">
        <f>'Purchase Order SCRAFT'!W41</f>
        <v>0</v>
      </c>
      <c r="X41" s="749">
        <f>'Purchase Order SCRAFT'!X41</f>
        <v>0</v>
      </c>
      <c r="Y41" s="749">
        <f>'Purchase Order SCRAFT'!Y41</f>
        <v>0</v>
      </c>
      <c r="Z41" s="749">
        <f>'Purchase Order SCRAFT'!Z41</f>
        <v>0</v>
      </c>
      <c r="AA41" s="749">
        <f>'Purchase Order SCRAFT'!AA41</f>
        <v>0</v>
      </c>
      <c r="AB41" s="749">
        <f>'Purchase Order SCRAFT'!AB41</f>
        <v>0</v>
      </c>
      <c r="AC41" s="856">
        <f>'Purchase Order SCRAFT'!AC41</f>
        <v>0</v>
      </c>
      <c r="AD41" s="1392">
        <f>'Purchase Order SCRAFT'!AD41</f>
        <v>0</v>
      </c>
      <c r="AE41" s="1393">
        <f>'Purchase Order SCRAFT'!AE41</f>
        <v>0</v>
      </c>
      <c r="AG41" s="849">
        <f>'Pricing and calculations'!O85</f>
        <v>0</v>
      </c>
    </row>
    <row r="42" spans="1:33" ht="15.95" customHeight="1" x14ac:dyDescent="0.2">
      <c r="A42" s="850">
        <v>12</v>
      </c>
      <c r="B42" s="791" t="str">
        <f>'Purchase Order SCRAFT'!B42</f>
        <v xml:space="preserve"> </v>
      </c>
      <c r="C42" s="851">
        <f>'Purchase Order SCRAFT'!C42</f>
        <v>0</v>
      </c>
      <c r="D42" s="1394">
        <f>'Purchase Order SCRAFT'!D42</f>
        <v>0</v>
      </c>
      <c r="E42" s="1352">
        <f>'Purchase Order SCRAFT'!E42</f>
        <v>0</v>
      </c>
      <c r="F42" s="1395">
        <f>'Purchase Order SCRAFT'!F42</f>
        <v>0</v>
      </c>
      <c r="G42" s="1396">
        <f>'Purchase Order SCRAFT'!G42</f>
        <v>0</v>
      </c>
      <c r="H42" s="851">
        <f>'Purchase Order SCRAFT'!H42</f>
        <v>0</v>
      </c>
      <c r="I42" s="793">
        <f>'Purchase Order SCRAFT'!I42</f>
        <v>0</v>
      </c>
      <c r="J42" s="793">
        <f>'Purchase Order SCRAFT'!J42</f>
        <v>0</v>
      </c>
      <c r="K42" s="793">
        <f>'Purchase Order SCRAFT'!K42</f>
        <v>0</v>
      </c>
      <c r="L42" s="748">
        <f>'Purchase Order SCRAFT'!L42</f>
        <v>0</v>
      </c>
      <c r="M42" s="748">
        <f>'Purchase Order SCRAFT'!M42</f>
        <v>0</v>
      </c>
      <c r="N42" s="748">
        <f>'Purchase Order SCRAFT'!N42</f>
        <v>0</v>
      </c>
      <c r="O42" s="748">
        <f>'Purchase Order SCRAFT'!O42</f>
        <v>0</v>
      </c>
      <c r="P42" s="748">
        <f>'Purchase Order SCRAFT'!P42</f>
        <v>0</v>
      </c>
      <c r="Q42" s="748">
        <f>'Purchase Order SCRAFT'!Q42</f>
        <v>0</v>
      </c>
      <c r="R42" s="748">
        <f>'Purchase Order SCRAFT'!R42</f>
        <v>0</v>
      </c>
      <c r="S42" s="748">
        <f>'Purchase Order SCRAFT'!S42</f>
        <v>0</v>
      </c>
      <c r="T42" s="748">
        <f>'Purchase Order SCRAFT'!T42</f>
        <v>0</v>
      </c>
      <c r="U42" s="748">
        <f>'Purchase Order SCRAFT'!U42</f>
        <v>0</v>
      </c>
      <c r="V42" s="748">
        <f>'Purchase Order SCRAFT'!V42</f>
        <v>0</v>
      </c>
      <c r="W42" s="748">
        <f>'Purchase Order SCRAFT'!W42</f>
        <v>0</v>
      </c>
      <c r="X42" s="748">
        <f>'Purchase Order SCRAFT'!X42</f>
        <v>0</v>
      </c>
      <c r="Y42" s="748">
        <f>'Purchase Order SCRAFT'!Y42</f>
        <v>0</v>
      </c>
      <c r="Z42" s="748">
        <f>'Purchase Order SCRAFT'!Z42</f>
        <v>0</v>
      </c>
      <c r="AA42" s="748">
        <f>'Purchase Order SCRAFT'!AA42</f>
        <v>0</v>
      </c>
      <c r="AB42" s="748">
        <f>'Purchase Order SCRAFT'!AB42</f>
        <v>0</v>
      </c>
      <c r="AC42" s="853">
        <f>'Purchase Order SCRAFT'!AC42</f>
        <v>0</v>
      </c>
      <c r="AD42" s="1397">
        <f>'Purchase Order SCRAFT'!AD42</f>
        <v>0</v>
      </c>
      <c r="AE42" s="1398">
        <f>'Purchase Order SCRAFT'!AE42</f>
        <v>0</v>
      </c>
      <c r="AG42" s="849">
        <f>'Pricing and calculations'!O86</f>
        <v>0</v>
      </c>
    </row>
    <row r="43" spans="1:33" ht="15.95" customHeight="1" x14ac:dyDescent="0.2">
      <c r="A43" s="857">
        <v>13</v>
      </c>
      <c r="B43" s="814" t="str">
        <f>'Purchase Order SCRAFT'!B43</f>
        <v xml:space="preserve"> </v>
      </c>
      <c r="C43" s="858">
        <f>'Purchase Order SCRAFT'!C43</f>
        <v>0</v>
      </c>
      <c r="D43" s="1402">
        <f>'Purchase Order SCRAFT'!D43</f>
        <v>0</v>
      </c>
      <c r="E43" s="1366">
        <f>'Purchase Order SCRAFT'!E43</f>
        <v>0</v>
      </c>
      <c r="F43" s="1403">
        <f>'Purchase Order SCRAFT'!F43</f>
        <v>0</v>
      </c>
      <c r="G43" s="1404">
        <f>'Purchase Order SCRAFT'!G43</f>
        <v>0</v>
      </c>
      <c r="H43" s="858">
        <f>'Purchase Order SCRAFT'!H43</f>
        <v>0</v>
      </c>
      <c r="I43" s="816">
        <f>'Purchase Order SCRAFT'!I43</f>
        <v>0</v>
      </c>
      <c r="J43" s="816">
        <f>'Purchase Order SCRAFT'!J43</f>
        <v>0</v>
      </c>
      <c r="K43" s="816">
        <f>'Purchase Order SCRAFT'!K43</f>
        <v>0</v>
      </c>
      <c r="L43" s="859">
        <f>'Purchase Order SCRAFT'!L43</f>
        <v>0</v>
      </c>
      <c r="M43" s="859">
        <f>'Purchase Order SCRAFT'!M43</f>
        <v>0</v>
      </c>
      <c r="N43" s="859">
        <f>'Purchase Order SCRAFT'!N43</f>
        <v>0</v>
      </c>
      <c r="O43" s="859">
        <f>'Purchase Order SCRAFT'!O43</f>
        <v>0</v>
      </c>
      <c r="P43" s="859">
        <f>'Purchase Order SCRAFT'!P43</f>
        <v>0</v>
      </c>
      <c r="Q43" s="859">
        <f>'Purchase Order SCRAFT'!Q43</f>
        <v>0</v>
      </c>
      <c r="R43" s="859">
        <f>'Purchase Order SCRAFT'!R43</f>
        <v>0</v>
      </c>
      <c r="S43" s="859">
        <f>'Purchase Order SCRAFT'!S43</f>
        <v>0</v>
      </c>
      <c r="T43" s="859">
        <f>'Purchase Order SCRAFT'!T43</f>
        <v>0</v>
      </c>
      <c r="U43" s="859">
        <f>'Purchase Order SCRAFT'!U43</f>
        <v>0</v>
      </c>
      <c r="V43" s="859">
        <f>'Purchase Order SCRAFT'!V43</f>
        <v>0</v>
      </c>
      <c r="W43" s="859">
        <f>'Purchase Order SCRAFT'!W43</f>
        <v>0</v>
      </c>
      <c r="X43" s="859">
        <f>'Purchase Order SCRAFT'!X43</f>
        <v>0</v>
      </c>
      <c r="Y43" s="859">
        <f>'Purchase Order SCRAFT'!Y43</f>
        <v>0</v>
      </c>
      <c r="Z43" s="859">
        <f>'Purchase Order SCRAFT'!Z43</f>
        <v>0</v>
      </c>
      <c r="AA43" s="859">
        <f>'Purchase Order SCRAFT'!AA43</f>
        <v>0</v>
      </c>
      <c r="AB43" s="859">
        <f>'Purchase Order SCRAFT'!AB43</f>
        <v>0</v>
      </c>
      <c r="AC43" s="861">
        <f>'Purchase Order SCRAFT'!AC43</f>
        <v>0</v>
      </c>
      <c r="AD43" s="1405">
        <f>'Purchase Order SCRAFT'!AD43</f>
        <v>0</v>
      </c>
      <c r="AE43" s="1406">
        <f>'Purchase Order SCRAFT'!AE43</f>
        <v>0</v>
      </c>
      <c r="AG43" s="849">
        <f>'Pricing and calculations'!O87</f>
        <v>0</v>
      </c>
    </row>
    <row r="44" spans="1:33" ht="15.95" customHeight="1" x14ac:dyDescent="0.2">
      <c r="A44" s="850">
        <v>14</v>
      </c>
      <c r="B44" s="791" t="str">
        <f>'Purchase Order SCRAFT'!B44</f>
        <v xml:space="preserve"> </v>
      </c>
      <c r="C44" s="851">
        <f>'Purchase Order SCRAFT'!C44</f>
        <v>0</v>
      </c>
      <c r="D44" s="1394">
        <f>'Purchase Order SCRAFT'!D44</f>
        <v>0</v>
      </c>
      <c r="E44" s="1352">
        <f>'Purchase Order SCRAFT'!E44</f>
        <v>0</v>
      </c>
      <c r="F44" s="1395">
        <f>'Purchase Order SCRAFT'!F44</f>
        <v>0</v>
      </c>
      <c r="G44" s="1396">
        <f>'Purchase Order SCRAFT'!G44</f>
        <v>0</v>
      </c>
      <c r="H44" s="851">
        <f>'Purchase Order SCRAFT'!H44</f>
        <v>0</v>
      </c>
      <c r="I44" s="793">
        <f>'Purchase Order SCRAFT'!I44</f>
        <v>0</v>
      </c>
      <c r="J44" s="793">
        <f>'Purchase Order SCRAFT'!J44</f>
        <v>0</v>
      </c>
      <c r="K44" s="793">
        <f>'Purchase Order SCRAFT'!K44</f>
        <v>0</v>
      </c>
      <c r="L44" s="748">
        <f>'Purchase Order SCRAFT'!L44</f>
        <v>0</v>
      </c>
      <c r="M44" s="748">
        <f>'Purchase Order SCRAFT'!M44</f>
        <v>0</v>
      </c>
      <c r="N44" s="748">
        <f>'Purchase Order SCRAFT'!N44</f>
        <v>0</v>
      </c>
      <c r="O44" s="748">
        <f>'Purchase Order SCRAFT'!O44</f>
        <v>0</v>
      </c>
      <c r="P44" s="748">
        <f>'Purchase Order SCRAFT'!P44</f>
        <v>0</v>
      </c>
      <c r="Q44" s="748">
        <f>'Purchase Order SCRAFT'!Q44</f>
        <v>0</v>
      </c>
      <c r="R44" s="748">
        <f>'Purchase Order SCRAFT'!R44</f>
        <v>0</v>
      </c>
      <c r="S44" s="748">
        <f>'Purchase Order SCRAFT'!S44</f>
        <v>0</v>
      </c>
      <c r="T44" s="748">
        <f>'Purchase Order SCRAFT'!T44</f>
        <v>0</v>
      </c>
      <c r="U44" s="748">
        <f>'Purchase Order SCRAFT'!U44</f>
        <v>0</v>
      </c>
      <c r="V44" s="748">
        <f>'Purchase Order SCRAFT'!V44</f>
        <v>0</v>
      </c>
      <c r="W44" s="748">
        <f>'Purchase Order SCRAFT'!W44</f>
        <v>0</v>
      </c>
      <c r="X44" s="748">
        <f>'Purchase Order SCRAFT'!X44</f>
        <v>0</v>
      </c>
      <c r="Y44" s="748">
        <f>'Purchase Order SCRAFT'!Y44</f>
        <v>0</v>
      </c>
      <c r="Z44" s="748">
        <f>'Purchase Order SCRAFT'!Z44</f>
        <v>0</v>
      </c>
      <c r="AA44" s="748">
        <f>'Purchase Order SCRAFT'!AA44</f>
        <v>0</v>
      </c>
      <c r="AB44" s="748">
        <f>'Purchase Order SCRAFT'!AB44</f>
        <v>0</v>
      </c>
      <c r="AC44" s="853">
        <f>'Purchase Order SCRAFT'!AC44</f>
        <v>0</v>
      </c>
      <c r="AD44" s="1397">
        <f>'Purchase Order SCRAFT'!AD44</f>
        <v>0</v>
      </c>
      <c r="AE44" s="1398">
        <f>'Purchase Order SCRAFT'!AE44</f>
        <v>0</v>
      </c>
      <c r="AG44" s="849">
        <f>'Pricing and calculations'!O88</f>
        <v>0</v>
      </c>
    </row>
    <row r="45" spans="1:33" ht="15.95" customHeight="1" x14ac:dyDescent="0.2">
      <c r="A45" s="854">
        <v>15</v>
      </c>
      <c r="B45" s="801" t="str">
        <f>'Purchase Order SCRAFT'!B45</f>
        <v xml:space="preserve"> </v>
      </c>
      <c r="C45" s="806">
        <f>'Purchase Order SCRAFT'!C45</f>
        <v>0</v>
      </c>
      <c r="D45" s="1389">
        <f>'Purchase Order SCRAFT'!D45</f>
        <v>0</v>
      </c>
      <c r="E45" s="1368">
        <f>'Purchase Order SCRAFT'!E45</f>
        <v>0</v>
      </c>
      <c r="F45" s="1390">
        <f>'Purchase Order SCRAFT'!F45</f>
        <v>0</v>
      </c>
      <c r="G45" s="1391">
        <f>'Purchase Order SCRAFT'!G45</f>
        <v>0</v>
      </c>
      <c r="H45" s="806">
        <f>'Purchase Order SCRAFT'!H45</f>
        <v>0</v>
      </c>
      <c r="I45" s="820">
        <f>'Purchase Order SCRAFT'!I45</f>
        <v>0</v>
      </c>
      <c r="J45" s="820">
        <f>'Purchase Order SCRAFT'!J45</f>
        <v>0</v>
      </c>
      <c r="K45" s="820">
        <f>'Purchase Order SCRAFT'!K45</f>
        <v>0</v>
      </c>
      <c r="L45" s="749">
        <f>'Purchase Order SCRAFT'!L45</f>
        <v>0</v>
      </c>
      <c r="M45" s="749">
        <f>'Purchase Order SCRAFT'!M45</f>
        <v>0</v>
      </c>
      <c r="N45" s="749">
        <f>'Purchase Order SCRAFT'!N45</f>
        <v>0</v>
      </c>
      <c r="O45" s="749">
        <f>'Purchase Order SCRAFT'!O45</f>
        <v>0</v>
      </c>
      <c r="P45" s="749">
        <f>'Purchase Order SCRAFT'!P45</f>
        <v>0</v>
      </c>
      <c r="Q45" s="749">
        <f>'Purchase Order SCRAFT'!Q45</f>
        <v>0</v>
      </c>
      <c r="R45" s="749">
        <f>'Purchase Order SCRAFT'!R45</f>
        <v>0</v>
      </c>
      <c r="S45" s="749">
        <f>'Purchase Order SCRAFT'!S45</f>
        <v>0</v>
      </c>
      <c r="T45" s="749">
        <f>'Purchase Order SCRAFT'!T45</f>
        <v>0</v>
      </c>
      <c r="U45" s="749">
        <f>'Purchase Order SCRAFT'!U45</f>
        <v>0</v>
      </c>
      <c r="V45" s="749">
        <f>'Purchase Order SCRAFT'!V45</f>
        <v>0</v>
      </c>
      <c r="W45" s="749">
        <f>'Purchase Order SCRAFT'!W45</f>
        <v>0</v>
      </c>
      <c r="X45" s="749">
        <f>'Purchase Order SCRAFT'!X45</f>
        <v>0</v>
      </c>
      <c r="Y45" s="749">
        <f>'Purchase Order SCRAFT'!Y45</f>
        <v>0</v>
      </c>
      <c r="Z45" s="749">
        <f>'Purchase Order SCRAFT'!Z45</f>
        <v>0</v>
      </c>
      <c r="AA45" s="749">
        <f>'Purchase Order SCRAFT'!AA45</f>
        <v>0</v>
      </c>
      <c r="AB45" s="749">
        <f>'Purchase Order SCRAFT'!AB45</f>
        <v>0</v>
      </c>
      <c r="AC45" s="856">
        <f>'Purchase Order SCRAFT'!AC45</f>
        <v>0</v>
      </c>
      <c r="AD45" s="1392">
        <f>'Purchase Order SCRAFT'!AD45</f>
        <v>0</v>
      </c>
      <c r="AE45" s="1393">
        <f>'Purchase Order SCRAFT'!AE45</f>
        <v>0</v>
      </c>
      <c r="AG45" s="849">
        <f>'Pricing and calculations'!O89</f>
        <v>0</v>
      </c>
    </row>
    <row r="46" spans="1:33" ht="15.95" customHeight="1" x14ac:dyDescent="0.2">
      <c r="A46" s="862">
        <v>16</v>
      </c>
      <c r="B46" s="791" t="str">
        <f>'Purchase Order SCRAFT'!B46</f>
        <v xml:space="preserve"> </v>
      </c>
      <c r="C46" s="851">
        <f>'Purchase Order SCRAFT'!C46</f>
        <v>0</v>
      </c>
      <c r="D46" s="1394">
        <f>'Purchase Order SCRAFT'!D46</f>
        <v>0</v>
      </c>
      <c r="E46" s="1352">
        <f>'Purchase Order SCRAFT'!E46</f>
        <v>0</v>
      </c>
      <c r="F46" s="1395">
        <f>'Purchase Order SCRAFT'!F46</f>
        <v>0</v>
      </c>
      <c r="G46" s="1396">
        <f>'Purchase Order SCRAFT'!G46</f>
        <v>0</v>
      </c>
      <c r="H46" s="851">
        <f>'Purchase Order SCRAFT'!H46</f>
        <v>0</v>
      </c>
      <c r="I46" s="793">
        <f>'Purchase Order SCRAFT'!I46</f>
        <v>0</v>
      </c>
      <c r="J46" s="793">
        <f>'Purchase Order SCRAFT'!J46</f>
        <v>0</v>
      </c>
      <c r="K46" s="793">
        <f>'Purchase Order SCRAFT'!K46</f>
        <v>0</v>
      </c>
      <c r="L46" s="748">
        <f>'Purchase Order SCRAFT'!L46</f>
        <v>0</v>
      </c>
      <c r="M46" s="748">
        <f>'Purchase Order SCRAFT'!M46</f>
        <v>0</v>
      </c>
      <c r="N46" s="748">
        <f>'Purchase Order SCRAFT'!N46</f>
        <v>0</v>
      </c>
      <c r="O46" s="748">
        <f>'Purchase Order SCRAFT'!O46</f>
        <v>0</v>
      </c>
      <c r="P46" s="748">
        <f>'Purchase Order SCRAFT'!P46</f>
        <v>0</v>
      </c>
      <c r="Q46" s="748">
        <f>'Purchase Order SCRAFT'!Q46</f>
        <v>0</v>
      </c>
      <c r="R46" s="748">
        <f>'Purchase Order SCRAFT'!R46</f>
        <v>0</v>
      </c>
      <c r="S46" s="748">
        <f>'Purchase Order SCRAFT'!S46</f>
        <v>0</v>
      </c>
      <c r="T46" s="748">
        <f>'Purchase Order SCRAFT'!T46</f>
        <v>0</v>
      </c>
      <c r="U46" s="748">
        <f>'Purchase Order SCRAFT'!U46</f>
        <v>0</v>
      </c>
      <c r="V46" s="748">
        <f>'Purchase Order SCRAFT'!V46</f>
        <v>0</v>
      </c>
      <c r="W46" s="748">
        <f>'Purchase Order SCRAFT'!W46</f>
        <v>0</v>
      </c>
      <c r="X46" s="748">
        <f>'Purchase Order SCRAFT'!X46</f>
        <v>0</v>
      </c>
      <c r="Y46" s="748">
        <f>'Purchase Order SCRAFT'!Y46</f>
        <v>0</v>
      </c>
      <c r="Z46" s="748">
        <f>'Purchase Order SCRAFT'!Z46</f>
        <v>0</v>
      </c>
      <c r="AA46" s="748">
        <f>'Purchase Order SCRAFT'!AA46</f>
        <v>0</v>
      </c>
      <c r="AB46" s="748">
        <f>'Purchase Order SCRAFT'!AB46</f>
        <v>0</v>
      </c>
      <c r="AC46" s="853">
        <f>'Purchase Order SCRAFT'!AC46</f>
        <v>0</v>
      </c>
      <c r="AD46" s="1397">
        <f>'Purchase Order SCRAFT'!AD46</f>
        <v>0</v>
      </c>
      <c r="AE46" s="1398">
        <f>'Purchase Order SCRAFT'!AE46</f>
        <v>0</v>
      </c>
      <c r="AG46" s="849">
        <f>'Pricing and calculations'!O90</f>
        <v>0</v>
      </c>
    </row>
    <row r="47" spans="1:33" ht="15.95" customHeight="1" x14ac:dyDescent="0.2">
      <c r="A47" s="857">
        <v>17</v>
      </c>
      <c r="B47" s="814" t="str">
        <f>'Purchase Order SCRAFT'!B47</f>
        <v xml:space="preserve"> </v>
      </c>
      <c r="C47" s="858">
        <f>'Purchase Order SCRAFT'!C47</f>
        <v>0</v>
      </c>
      <c r="D47" s="1402">
        <f>'Purchase Order SCRAFT'!D47</f>
        <v>0</v>
      </c>
      <c r="E47" s="1366">
        <f>'Purchase Order SCRAFT'!E47</f>
        <v>0</v>
      </c>
      <c r="F47" s="1403">
        <f>'Purchase Order SCRAFT'!F47</f>
        <v>0</v>
      </c>
      <c r="G47" s="1404">
        <f>'Purchase Order SCRAFT'!G47</f>
        <v>0</v>
      </c>
      <c r="H47" s="858">
        <f>'Purchase Order SCRAFT'!H47</f>
        <v>0</v>
      </c>
      <c r="I47" s="816">
        <f>'Purchase Order SCRAFT'!I47</f>
        <v>0</v>
      </c>
      <c r="J47" s="816">
        <f>'Purchase Order SCRAFT'!J47</f>
        <v>0</v>
      </c>
      <c r="K47" s="816">
        <f>'Purchase Order SCRAFT'!K47</f>
        <v>0</v>
      </c>
      <c r="L47" s="859">
        <f>'Purchase Order SCRAFT'!L47</f>
        <v>0</v>
      </c>
      <c r="M47" s="859">
        <f>'Purchase Order SCRAFT'!M47</f>
        <v>0</v>
      </c>
      <c r="N47" s="859">
        <f>'Purchase Order SCRAFT'!N47</f>
        <v>0</v>
      </c>
      <c r="O47" s="859">
        <f>'Purchase Order SCRAFT'!O47</f>
        <v>0</v>
      </c>
      <c r="P47" s="859">
        <f>'Purchase Order SCRAFT'!P47</f>
        <v>0</v>
      </c>
      <c r="Q47" s="859">
        <f>'Purchase Order SCRAFT'!Q47</f>
        <v>0</v>
      </c>
      <c r="R47" s="859">
        <f>'Purchase Order SCRAFT'!R47</f>
        <v>0</v>
      </c>
      <c r="S47" s="859">
        <f>'Purchase Order SCRAFT'!S47</f>
        <v>0</v>
      </c>
      <c r="T47" s="859">
        <f>'Purchase Order SCRAFT'!T47</f>
        <v>0</v>
      </c>
      <c r="U47" s="859">
        <f>'Purchase Order SCRAFT'!U47</f>
        <v>0</v>
      </c>
      <c r="V47" s="859">
        <f>'Purchase Order SCRAFT'!V47</f>
        <v>0</v>
      </c>
      <c r="W47" s="859">
        <f>'Purchase Order SCRAFT'!W47</f>
        <v>0</v>
      </c>
      <c r="X47" s="859">
        <f>'Purchase Order SCRAFT'!X47</f>
        <v>0</v>
      </c>
      <c r="Y47" s="859">
        <f>'Purchase Order SCRAFT'!Y47</f>
        <v>0</v>
      </c>
      <c r="Z47" s="859">
        <f>'Purchase Order SCRAFT'!Z47</f>
        <v>0</v>
      </c>
      <c r="AA47" s="859">
        <f>'Purchase Order SCRAFT'!AA47</f>
        <v>0</v>
      </c>
      <c r="AB47" s="859">
        <f>'Purchase Order SCRAFT'!AB47</f>
        <v>0</v>
      </c>
      <c r="AC47" s="861">
        <f>'Purchase Order SCRAFT'!AC47</f>
        <v>0</v>
      </c>
      <c r="AD47" s="1405">
        <f>'Purchase Order SCRAFT'!AD47</f>
        <v>0</v>
      </c>
      <c r="AE47" s="1406">
        <f>'Purchase Order SCRAFT'!AE47</f>
        <v>0</v>
      </c>
      <c r="AG47" s="849">
        <f>'Pricing and calculations'!O91</f>
        <v>0</v>
      </c>
    </row>
    <row r="48" spans="1:33" ht="15.95" customHeight="1" x14ac:dyDescent="0.2">
      <c r="A48" s="850">
        <v>18</v>
      </c>
      <c r="B48" s="791" t="str">
        <f>'Purchase Order SCRAFT'!B48</f>
        <v xml:space="preserve"> </v>
      </c>
      <c r="C48" s="851">
        <f>'Purchase Order SCRAFT'!C48</f>
        <v>0</v>
      </c>
      <c r="D48" s="1394">
        <f>'Purchase Order SCRAFT'!D48</f>
        <v>0</v>
      </c>
      <c r="E48" s="1352">
        <f>'Purchase Order SCRAFT'!E48</f>
        <v>0</v>
      </c>
      <c r="F48" s="1395">
        <f>'Purchase Order SCRAFT'!F48</f>
        <v>0</v>
      </c>
      <c r="G48" s="1396">
        <f>'Purchase Order SCRAFT'!G48</f>
        <v>0</v>
      </c>
      <c r="H48" s="851">
        <f>'Purchase Order SCRAFT'!H48</f>
        <v>0</v>
      </c>
      <c r="I48" s="793">
        <f>'Purchase Order SCRAFT'!I48</f>
        <v>0</v>
      </c>
      <c r="J48" s="793">
        <f>'Purchase Order SCRAFT'!J48</f>
        <v>0</v>
      </c>
      <c r="K48" s="793">
        <f>'Purchase Order SCRAFT'!K48</f>
        <v>0</v>
      </c>
      <c r="L48" s="748">
        <f>'Purchase Order SCRAFT'!L48</f>
        <v>0</v>
      </c>
      <c r="M48" s="748">
        <f>'Purchase Order SCRAFT'!M48</f>
        <v>0</v>
      </c>
      <c r="N48" s="748">
        <f>'Purchase Order SCRAFT'!N48</f>
        <v>0</v>
      </c>
      <c r="O48" s="748">
        <f>'Purchase Order SCRAFT'!O48</f>
        <v>0</v>
      </c>
      <c r="P48" s="748">
        <f>'Purchase Order SCRAFT'!P48</f>
        <v>0</v>
      </c>
      <c r="Q48" s="748">
        <f>'Purchase Order SCRAFT'!Q48</f>
        <v>0</v>
      </c>
      <c r="R48" s="748">
        <f>'Purchase Order SCRAFT'!R48</f>
        <v>0</v>
      </c>
      <c r="S48" s="748">
        <f>'Purchase Order SCRAFT'!S48</f>
        <v>0</v>
      </c>
      <c r="T48" s="748">
        <f>'Purchase Order SCRAFT'!T48</f>
        <v>0</v>
      </c>
      <c r="U48" s="748">
        <f>'Purchase Order SCRAFT'!U48</f>
        <v>0</v>
      </c>
      <c r="V48" s="748">
        <f>'Purchase Order SCRAFT'!V48</f>
        <v>0</v>
      </c>
      <c r="W48" s="748">
        <f>'Purchase Order SCRAFT'!W48</f>
        <v>0</v>
      </c>
      <c r="X48" s="748">
        <f>'Purchase Order SCRAFT'!X48</f>
        <v>0</v>
      </c>
      <c r="Y48" s="748">
        <f>'Purchase Order SCRAFT'!Y48</f>
        <v>0</v>
      </c>
      <c r="Z48" s="748">
        <f>'Purchase Order SCRAFT'!Z48</f>
        <v>0</v>
      </c>
      <c r="AA48" s="748">
        <f>'Purchase Order SCRAFT'!AA48</f>
        <v>0</v>
      </c>
      <c r="AB48" s="748">
        <f>'Purchase Order SCRAFT'!AB48</f>
        <v>0</v>
      </c>
      <c r="AC48" s="853">
        <f>'Purchase Order SCRAFT'!AC48</f>
        <v>0</v>
      </c>
      <c r="AD48" s="1397">
        <f>'Purchase Order SCRAFT'!AD48</f>
        <v>0</v>
      </c>
      <c r="AE48" s="1398">
        <f>'Purchase Order SCRAFT'!AE48</f>
        <v>0</v>
      </c>
      <c r="AG48" s="849">
        <f>'Pricing and calculations'!O92</f>
        <v>0</v>
      </c>
    </row>
    <row r="49" spans="1:33" ht="15.95" customHeight="1" x14ac:dyDescent="0.2">
      <c r="A49" s="854">
        <v>19</v>
      </c>
      <c r="B49" s="801" t="str">
        <f>'Purchase Order SCRAFT'!B49</f>
        <v xml:space="preserve"> </v>
      </c>
      <c r="C49" s="806">
        <f>'Purchase Order SCRAFT'!C49</f>
        <v>0</v>
      </c>
      <c r="D49" s="1389">
        <f>'Purchase Order SCRAFT'!D49</f>
        <v>0</v>
      </c>
      <c r="E49" s="1368">
        <f>'Purchase Order SCRAFT'!E49</f>
        <v>0</v>
      </c>
      <c r="F49" s="1390">
        <f>'Purchase Order SCRAFT'!F49</f>
        <v>0</v>
      </c>
      <c r="G49" s="1391">
        <f>'Purchase Order SCRAFT'!G49</f>
        <v>0</v>
      </c>
      <c r="H49" s="806">
        <f>'Purchase Order SCRAFT'!H49</f>
        <v>0</v>
      </c>
      <c r="I49" s="820">
        <f>'Purchase Order SCRAFT'!I49</f>
        <v>0</v>
      </c>
      <c r="J49" s="820">
        <f>'Purchase Order SCRAFT'!J49</f>
        <v>0</v>
      </c>
      <c r="K49" s="820">
        <f>'Purchase Order SCRAFT'!K49</f>
        <v>0</v>
      </c>
      <c r="L49" s="749">
        <f>'Purchase Order SCRAFT'!L49</f>
        <v>0</v>
      </c>
      <c r="M49" s="749">
        <f>'Purchase Order SCRAFT'!M49</f>
        <v>0</v>
      </c>
      <c r="N49" s="749">
        <f>'Purchase Order SCRAFT'!N49</f>
        <v>0</v>
      </c>
      <c r="O49" s="749">
        <f>'Purchase Order SCRAFT'!O49</f>
        <v>0</v>
      </c>
      <c r="P49" s="749">
        <f>'Purchase Order SCRAFT'!P49</f>
        <v>0</v>
      </c>
      <c r="Q49" s="749">
        <f>'Purchase Order SCRAFT'!Q49</f>
        <v>0</v>
      </c>
      <c r="R49" s="749">
        <f>'Purchase Order SCRAFT'!R49</f>
        <v>0</v>
      </c>
      <c r="S49" s="749">
        <f>'Purchase Order SCRAFT'!S49</f>
        <v>0</v>
      </c>
      <c r="T49" s="749">
        <f>'Purchase Order SCRAFT'!T49</f>
        <v>0</v>
      </c>
      <c r="U49" s="749">
        <f>'Purchase Order SCRAFT'!U49</f>
        <v>0</v>
      </c>
      <c r="V49" s="749">
        <f>'Purchase Order SCRAFT'!V49</f>
        <v>0</v>
      </c>
      <c r="W49" s="749">
        <f>'Purchase Order SCRAFT'!W49</f>
        <v>0</v>
      </c>
      <c r="X49" s="749">
        <f>'Purchase Order SCRAFT'!X49</f>
        <v>0</v>
      </c>
      <c r="Y49" s="749">
        <f>'Purchase Order SCRAFT'!Y49</f>
        <v>0</v>
      </c>
      <c r="Z49" s="749">
        <f>'Purchase Order SCRAFT'!Z49</f>
        <v>0</v>
      </c>
      <c r="AA49" s="749">
        <f>'Purchase Order SCRAFT'!AA49</f>
        <v>0</v>
      </c>
      <c r="AB49" s="749">
        <f>'Purchase Order SCRAFT'!AB49</f>
        <v>0</v>
      </c>
      <c r="AC49" s="856">
        <f>'Purchase Order SCRAFT'!AC49</f>
        <v>0</v>
      </c>
      <c r="AD49" s="1392">
        <f>'Purchase Order SCRAFT'!AD49</f>
        <v>0</v>
      </c>
      <c r="AE49" s="1393">
        <f>'Purchase Order SCRAFT'!AE49</f>
        <v>0</v>
      </c>
      <c r="AG49" s="849">
        <f>'Pricing and calculations'!O93</f>
        <v>0</v>
      </c>
    </row>
    <row r="50" spans="1:33" ht="15.95" customHeight="1" thickBot="1" x14ac:dyDescent="0.25">
      <c r="A50" s="863">
        <v>20</v>
      </c>
      <c r="B50" s="864" t="str">
        <f>'Purchase Order SCRAFT'!B50</f>
        <v xml:space="preserve"> </v>
      </c>
      <c r="C50" s="865">
        <f>'Purchase Order SCRAFT'!C50</f>
        <v>0</v>
      </c>
      <c r="D50" s="1399">
        <f>'Purchase Order SCRAFT'!D50</f>
        <v>0</v>
      </c>
      <c r="E50" s="1370">
        <f>'Purchase Order SCRAFT'!E50</f>
        <v>0</v>
      </c>
      <c r="F50" s="1399">
        <f>'Purchase Order SCRAFT'!F50</f>
        <v>0</v>
      </c>
      <c r="G50" s="1370">
        <f>'Purchase Order SCRAFT'!G50</f>
        <v>0</v>
      </c>
      <c r="H50" s="867">
        <f>'Purchase Order SCRAFT'!H50</f>
        <v>0</v>
      </c>
      <c r="I50" s="867">
        <f>'Purchase Order SCRAFT'!I50</f>
        <v>0</v>
      </c>
      <c r="J50" s="868">
        <f>'Purchase Order SCRAFT'!J50</f>
        <v>0</v>
      </c>
      <c r="K50" s="868">
        <f>'Purchase Order SCRAFT'!K50</f>
        <v>0</v>
      </c>
      <c r="L50" s="869">
        <f>'Purchase Order SCRAFT'!L50</f>
        <v>0</v>
      </c>
      <c r="M50" s="869">
        <f>'Purchase Order SCRAFT'!M50</f>
        <v>0</v>
      </c>
      <c r="N50" s="869">
        <f>'Purchase Order SCRAFT'!N50</f>
        <v>0</v>
      </c>
      <c r="O50" s="869">
        <f>'Purchase Order SCRAFT'!O50</f>
        <v>0</v>
      </c>
      <c r="P50" s="869">
        <f>'Purchase Order SCRAFT'!P50</f>
        <v>0</v>
      </c>
      <c r="Q50" s="869">
        <f>'Purchase Order SCRAFT'!Q50</f>
        <v>0</v>
      </c>
      <c r="R50" s="869">
        <f>'Purchase Order SCRAFT'!R50</f>
        <v>0</v>
      </c>
      <c r="S50" s="869">
        <f>'Purchase Order SCRAFT'!S50</f>
        <v>0</v>
      </c>
      <c r="T50" s="869">
        <f>'Purchase Order SCRAFT'!T50</f>
        <v>0</v>
      </c>
      <c r="U50" s="869">
        <f>'Purchase Order SCRAFT'!U50</f>
        <v>0</v>
      </c>
      <c r="V50" s="869">
        <f>'Purchase Order SCRAFT'!V50</f>
        <v>0</v>
      </c>
      <c r="W50" s="869">
        <f>'Purchase Order SCRAFT'!W50</f>
        <v>0</v>
      </c>
      <c r="X50" s="869">
        <f>'Purchase Order SCRAFT'!X50</f>
        <v>0</v>
      </c>
      <c r="Y50" s="869">
        <f>'Purchase Order SCRAFT'!Y50</f>
        <v>0</v>
      </c>
      <c r="Z50" s="869">
        <f>'Purchase Order SCRAFT'!Z50</f>
        <v>0</v>
      </c>
      <c r="AA50" s="869">
        <f>'Purchase Order SCRAFT'!AA50</f>
        <v>0</v>
      </c>
      <c r="AB50" s="869">
        <f>'Purchase Order SCRAFT'!AB50</f>
        <v>0</v>
      </c>
      <c r="AC50" s="870">
        <f>'Purchase Order SCRAFT'!AC50</f>
        <v>0</v>
      </c>
      <c r="AD50" s="1400">
        <f>'Purchase Order SCRAFT'!AD50</f>
        <v>0</v>
      </c>
      <c r="AE50" s="1401">
        <f>'Purchase Order SCRAFT'!AE50</f>
        <v>0</v>
      </c>
      <c r="AG50" s="849">
        <f>'Pricing and calculations'!O94</f>
        <v>0</v>
      </c>
    </row>
    <row r="51" spans="1:33" ht="3.75" customHeight="1" x14ac:dyDescent="0.2">
      <c r="A51" s="842"/>
      <c r="B51" s="871"/>
      <c r="C51" s="872"/>
      <c r="D51" s="872"/>
      <c r="E51" s="872"/>
      <c r="F51" s="872"/>
      <c r="G51" s="842"/>
      <c r="H51" s="842"/>
      <c r="I51" s="842"/>
      <c r="J51" s="842"/>
      <c r="K51" s="842"/>
      <c r="AC51" s="843"/>
      <c r="AD51" s="755"/>
    </row>
    <row r="52" spans="1:33" ht="15.95" customHeight="1" thickBot="1" x14ac:dyDescent="0.25">
      <c r="B52" s="873"/>
      <c r="C52" s="842"/>
      <c r="D52" s="842"/>
      <c r="E52" s="842"/>
      <c r="F52" s="842"/>
      <c r="G52" s="842"/>
      <c r="H52" s="842"/>
      <c r="I52" s="842"/>
      <c r="J52" s="842"/>
      <c r="K52" s="842"/>
      <c r="U52" s="874"/>
      <c r="V52" s="874"/>
    </row>
    <row r="53" spans="1:33" ht="16.5" thickBot="1" x14ac:dyDescent="0.3">
      <c r="E53" s="933" t="str">
        <f>IF(Form_Type="EX","","BUILD-OUTS")</f>
        <v>BUILD-OUTS</v>
      </c>
      <c r="F53" s="934"/>
      <c r="L53" s="755"/>
      <c r="M53" s="937" t="str">
        <f>IF(Form_Type="EX","","OPTIONAL BATTENS &amp; COVER STRIPS")</f>
        <v>OPTIONAL BATTENS &amp; COVER STRIPS</v>
      </c>
      <c r="N53" s="938"/>
      <c r="O53" s="939"/>
      <c r="P53" s="939"/>
      <c r="Q53" s="939"/>
      <c r="R53" s="939"/>
      <c r="S53" s="940"/>
      <c r="T53" s="834"/>
      <c r="U53" s="875"/>
      <c r="V53"/>
      <c r="W53"/>
      <c r="X53"/>
      <c r="Y53"/>
      <c r="Z53"/>
      <c r="AA53"/>
      <c r="AB53"/>
    </row>
    <row r="54" spans="1:33" ht="15.75" thickBot="1" x14ac:dyDescent="0.25">
      <c r="D54" s="928" t="s">
        <v>7</v>
      </c>
      <c r="E54" s="935" t="str">
        <f>IF(Form_Type="OP","N/A",IF(Form_Type="EX","Hinge Groove","Option"))</f>
        <v>Option</v>
      </c>
      <c r="F54" s="936" t="s">
        <v>136</v>
      </c>
      <c r="L54" s="928" t="s">
        <v>7</v>
      </c>
      <c r="M54" s="1385" t="s">
        <v>2</v>
      </c>
      <c r="N54" s="1386"/>
      <c r="O54" s="941" t="s">
        <v>499</v>
      </c>
      <c r="P54" s="942" t="s">
        <v>29</v>
      </c>
      <c r="Q54" s="942" t="s">
        <v>136</v>
      </c>
      <c r="R54" s="942" t="s">
        <v>53</v>
      </c>
      <c r="S54" s="943" t="s">
        <v>8</v>
      </c>
      <c r="T54" s="834"/>
      <c r="U54" s="875"/>
      <c r="V54"/>
      <c r="W54"/>
      <c r="X54"/>
      <c r="Y54"/>
      <c r="Z54"/>
      <c r="AA54"/>
      <c r="AB54"/>
    </row>
    <row r="55" spans="1:33" ht="15" x14ac:dyDescent="0.2">
      <c r="D55" s="844">
        <v>1</v>
      </c>
      <c r="E55" s="847">
        <f>'Purchase Order SCRAFT'!E55</f>
        <v>0</v>
      </c>
      <c r="F55" s="876">
        <f>'Purchase Order SCRAFT'!F55</f>
        <v>0</v>
      </c>
      <c r="L55" s="844">
        <v>1</v>
      </c>
      <c r="M55" s="1387" t="str">
        <f>'Purchase Order SCRAFT'!M55</f>
        <v>003-Silk White</v>
      </c>
      <c r="N55" s="1388">
        <f>'Purchase Order SCRAFT'!N55</f>
        <v>0</v>
      </c>
      <c r="O55" s="846" t="str">
        <f>'Purchase Order SCRAFT'!O55</f>
        <v>5 x 25 Cover Strip</v>
      </c>
      <c r="P55" s="877">
        <f>'Purchase Order SCRAFT'!P55</f>
        <v>0</v>
      </c>
      <c r="Q55" s="877">
        <f>'Purchase Order SCRAFT'!Q55</f>
        <v>0</v>
      </c>
      <c r="R55" s="877">
        <f>'Purchase Order SCRAFT'!R55</f>
        <v>2220</v>
      </c>
      <c r="S55" s="878">
        <f>'Purchase Order SCRAFT'!S55</f>
        <v>1</v>
      </c>
      <c r="T55" s="834"/>
      <c r="U55" s="875"/>
      <c r="V55"/>
      <c r="W55"/>
      <c r="X55"/>
      <c r="Y55"/>
      <c r="Z55"/>
      <c r="AA55"/>
      <c r="AB55"/>
    </row>
    <row r="56" spans="1:33" ht="15" x14ac:dyDescent="0.2">
      <c r="D56" s="850">
        <v>2</v>
      </c>
      <c r="E56" s="879">
        <f>'Purchase Order SCRAFT'!E56</f>
        <v>0</v>
      </c>
      <c r="F56" s="880">
        <f>'Purchase Order SCRAFT'!F56</f>
        <v>0</v>
      </c>
      <c r="L56" s="850">
        <v>2</v>
      </c>
      <c r="M56" s="1351" t="str">
        <f>'Purchase Order SCRAFT'!M56</f>
        <v>003-Silk White</v>
      </c>
      <c r="N56" s="1352">
        <f>'Purchase Order SCRAFT'!N56</f>
        <v>0</v>
      </c>
      <c r="O56" s="852" t="str">
        <f>'Purchase Order SCRAFT'!O56</f>
        <v>5 x 25 Cover Strip</v>
      </c>
      <c r="P56" s="881">
        <f>'Purchase Order SCRAFT'!P56</f>
        <v>0</v>
      </c>
      <c r="Q56" s="881">
        <f>'Purchase Order SCRAFT'!Q56</f>
        <v>0</v>
      </c>
      <c r="R56" s="881">
        <f>'Purchase Order SCRAFT'!R56</f>
        <v>1400</v>
      </c>
      <c r="S56" s="882">
        <f>'Purchase Order SCRAFT'!S56</f>
        <v>2</v>
      </c>
      <c r="T56" s="834"/>
      <c r="U56" s="875"/>
      <c r="V56"/>
      <c r="W56"/>
      <c r="X56"/>
      <c r="Y56"/>
      <c r="Z56"/>
      <c r="AA56"/>
      <c r="AB56"/>
    </row>
    <row r="57" spans="1:33" ht="15" x14ac:dyDescent="0.2">
      <c r="D57" s="854">
        <v>3</v>
      </c>
      <c r="E57" s="808">
        <f>'Purchase Order SCRAFT'!E57</f>
        <v>0</v>
      </c>
      <c r="F57" s="883">
        <f>'Purchase Order SCRAFT'!F57</f>
        <v>0</v>
      </c>
      <c r="L57" s="854">
        <v>3</v>
      </c>
      <c r="M57" s="1367" t="str">
        <f>'Purchase Order SCRAFT'!M57</f>
        <v>003-Silk White</v>
      </c>
      <c r="N57" s="1368">
        <f>'Purchase Order SCRAFT'!N57</f>
        <v>0</v>
      </c>
      <c r="O57" s="855" t="str">
        <f>'Purchase Order SCRAFT'!O57</f>
        <v>25 x 30</v>
      </c>
      <c r="P57" s="807">
        <f>'Purchase Order SCRAFT'!P57</f>
        <v>0</v>
      </c>
      <c r="Q57" s="807">
        <f>'Purchase Order SCRAFT'!Q57</f>
        <v>0</v>
      </c>
      <c r="R57" s="807">
        <f>'Purchase Order SCRAFT'!R57</f>
        <v>2100</v>
      </c>
      <c r="S57" s="884">
        <f>'Purchase Order SCRAFT'!S57</f>
        <v>1</v>
      </c>
      <c r="T57" s="834"/>
      <c r="U57" s="875"/>
      <c r="V57"/>
      <c r="W57"/>
      <c r="X57"/>
      <c r="Y57"/>
      <c r="Z57"/>
      <c r="AA57"/>
      <c r="AB57"/>
    </row>
    <row r="58" spans="1:33" ht="15" x14ac:dyDescent="0.2">
      <c r="D58" s="850">
        <v>4</v>
      </c>
      <c r="E58" s="879">
        <f>'Purchase Order SCRAFT'!E58</f>
        <v>0</v>
      </c>
      <c r="F58" s="880">
        <f>'Purchase Order SCRAFT'!F58</f>
        <v>0</v>
      </c>
      <c r="L58" s="850">
        <v>4</v>
      </c>
      <c r="M58" s="1351">
        <f>'Purchase Order SCRAFT'!M58</f>
        <v>0</v>
      </c>
      <c r="N58" s="1352">
        <f>'Purchase Order SCRAFT'!N58</f>
        <v>0</v>
      </c>
      <c r="O58" s="852">
        <f>'Purchase Order SCRAFT'!O58</f>
        <v>0</v>
      </c>
      <c r="P58" s="881">
        <f>'Purchase Order SCRAFT'!P58</f>
        <v>0</v>
      </c>
      <c r="Q58" s="881">
        <f>'Purchase Order SCRAFT'!Q58</f>
        <v>0</v>
      </c>
      <c r="R58" s="881">
        <f>'Purchase Order SCRAFT'!R58</f>
        <v>0</v>
      </c>
      <c r="S58" s="882">
        <f>'Purchase Order SCRAFT'!S58</f>
        <v>0</v>
      </c>
      <c r="T58" s="834"/>
      <c r="U58" s="875"/>
      <c r="V58"/>
      <c r="W58"/>
      <c r="X58"/>
      <c r="Y58"/>
      <c r="Z58"/>
      <c r="AA58"/>
      <c r="AB58"/>
    </row>
    <row r="59" spans="1:33" ht="15" x14ac:dyDescent="0.2">
      <c r="D59" s="857">
        <v>5</v>
      </c>
      <c r="E59" s="885">
        <f>'Purchase Order SCRAFT'!E59</f>
        <v>0</v>
      </c>
      <c r="F59" s="886">
        <f>'Purchase Order SCRAFT'!F59</f>
        <v>0</v>
      </c>
      <c r="L59" s="857">
        <v>5</v>
      </c>
      <c r="M59" s="1365">
        <f>'Purchase Order SCRAFT'!M59</f>
        <v>0</v>
      </c>
      <c r="N59" s="1366">
        <f>'Purchase Order SCRAFT'!N59</f>
        <v>0</v>
      </c>
      <c r="O59" s="887">
        <f>'Purchase Order SCRAFT'!O59</f>
        <v>0</v>
      </c>
      <c r="P59" s="888">
        <f>'Purchase Order SCRAFT'!P59</f>
        <v>0</v>
      </c>
      <c r="Q59" s="888">
        <f>'Purchase Order SCRAFT'!Q59</f>
        <v>0</v>
      </c>
      <c r="R59" s="889">
        <f>'Purchase Order SCRAFT'!R59</f>
        <v>0</v>
      </c>
      <c r="S59" s="890">
        <f>'Purchase Order SCRAFT'!S59</f>
        <v>0</v>
      </c>
      <c r="T59" s="834"/>
      <c r="U59" s="875"/>
      <c r="V59"/>
      <c r="W59"/>
      <c r="X59"/>
      <c r="Y59"/>
      <c r="Z59"/>
      <c r="AA59"/>
      <c r="AB59"/>
    </row>
    <row r="60" spans="1:33" ht="16.5" customHeight="1" x14ac:dyDescent="0.2">
      <c r="D60" s="850">
        <v>6</v>
      </c>
      <c r="E60" s="879">
        <f>'Purchase Order SCRAFT'!E60</f>
        <v>0</v>
      </c>
      <c r="F60" s="880">
        <f>'Purchase Order SCRAFT'!F60</f>
        <v>0</v>
      </c>
      <c r="L60" s="850">
        <v>6</v>
      </c>
      <c r="M60" s="1351">
        <f>'Purchase Order SCRAFT'!M60</f>
        <v>0</v>
      </c>
      <c r="N60" s="1352">
        <f>'Purchase Order SCRAFT'!N60</f>
        <v>0</v>
      </c>
      <c r="O60" s="852">
        <f>'Purchase Order SCRAFT'!O60</f>
        <v>0</v>
      </c>
      <c r="P60" s="881">
        <f>'Purchase Order SCRAFT'!P60</f>
        <v>0</v>
      </c>
      <c r="Q60" s="881">
        <f>'Purchase Order SCRAFT'!Q60</f>
        <v>0</v>
      </c>
      <c r="R60" s="881">
        <f>'Purchase Order SCRAFT'!R60</f>
        <v>0</v>
      </c>
      <c r="S60" s="882">
        <f>'Purchase Order SCRAFT'!S60</f>
        <v>0</v>
      </c>
      <c r="T60" s="834"/>
      <c r="U60" s="875"/>
      <c r="V60"/>
      <c r="W60"/>
      <c r="X60"/>
      <c r="Y60"/>
      <c r="Z60"/>
      <c r="AA60"/>
      <c r="AB60"/>
    </row>
    <row r="61" spans="1:33" ht="15" x14ac:dyDescent="0.2">
      <c r="D61" s="854">
        <v>7</v>
      </c>
      <c r="E61" s="808">
        <f>'Purchase Order SCRAFT'!E61</f>
        <v>0</v>
      </c>
      <c r="F61" s="883">
        <f>'Purchase Order SCRAFT'!F61</f>
        <v>0</v>
      </c>
      <c r="I61" s="891" t="s">
        <v>265</v>
      </c>
      <c r="L61" s="854">
        <v>7</v>
      </c>
      <c r="M61" s="1367">
        <f>'Purchase Order SCRAFT'!M61</f>
        <v>0</v>
      </c>
      <c r="N61" s="1368">
        <f>'Purchase Order SCRAFT'!N61</f>
        <v>0</v>
      </c>
      <c r="O61" s="855">
        <f>'Purchase Order SCRAFT'!O61</f>
        <v>0</v>
      </c>
      <c r="P61" s="807">
        <f>'Purchase Order SCRAFT'!P61</f>
        <v>0</v>
      </c>
      <c r="Q61" s="807">
        <f>'Purchase Order SCRAFT'!Q61</f>
        <v>0</v>
      </c>
      <c r="R61" s="807">
        <f>'Purchase Order SCRAFT'!R61</f>
        <v>0</v>
      </c>
      <c r="S61" s="884">
        <f>'Purchase Order SCRAFT'!S61</f>
        <v>0</v>
      </c>
      <c r="T61" s="834"/>
      <c r="U61" s="875"/>
      <c r="V61"/>
      <c r="W61"/>
      <c r="X61"/>
      <c r="Y61"/>
      <c r="Z61"/>
      <c r="AA61"/>
      <c r="AB61"/>
    </row>
    <row r="62" spans="1:33" s="834" customFormat="1" ht="15.95" customHeight="1" x14ac:dyDescent="0.2">
      <c r="A62" s="892"/>
      <c r="B62" s="893"/>
      <c r="C62" s="893"/>
      <c r="D62" s="850">
        <v>8</v>
      </c>
      <c r="E62" s="879">
        <f>'Purchase Order SCRAFT'!E62</f>
        <v>0</v>
      </c>
      <c r="F62" s="880">
        <f>'Purchase Order SCRAFT'!F62</f>
        <v>0</v>
      </c>
      <c r="G62" s="894"/>
      <c r="H62" s="892"/>
      <c r="I62" s="895"/>
      <c r="J62" s="892"/>
      <c r="K62" s="756"/>
      <c r="L62" s="850">
        <v>8</v>
      </c>
      <c r="M62" s="1351">
        <f>'Purchase Order SCRAFT'!M62</f>
        <v>0</v>
      </c>
      <c r="N62" s="1352">
        <f>'Purchase Order SCRAFT'!N62</f>
        <v>0</v>
      </c>
      <c r="O62" s="852">
        <f>'Purchase Order SCRAFT'!O62</f>
        <v>0</v>
      </c>
      <c r="P62" s="881">
        <f>'Purchase Order SCRAFT'!P62</f>
        <v>0</v>
      </c>
      <c r="Q62" s="881">
        <f>'Purchase Order SCRAFT'!Q62</f>
        <v>0</v>
      </c>
      <c r="R62" s="881">
        <f>'Purchase Order SCRAFT'!R62</f>
        <v>0</v>
      </c>
      <c r="S62" s="882">
        <f>'Purchase Order SCRAFT'!S62</f>
        <v>0</v>
      </c>
      <c r="U62" s="875"/>
      <c r="V62"/>
      <c r="W62"/>
      <c r="X62"/>
      <c r="Y62"/>
      <c r="Z62"/>
      <c r="AA62"/>
      <c r="AB62"/>
    </row>
    <row r="63" spans="1:33" s="834" customFormat="1" ht="15.95" customHeight="1" x14ac:dyDescent="0.2">
      <c r="A63" s="896"/>
      <c r="B63" s="892"/>
      <c r="C63" s="894"/>
      <c r="D63" s="857">
        <v>9</v>
      </c>
      <c r="E63" s="885">
        <f>'Purchase Order SCRAFT'!E63</f>
        <v>0</v>
      </c>
      <c r="F63" s="886">
        <f>'Purchase Order SCRAFT'!F63</f>
        <v>0</v>
      </c>
      <c r="G63" s="894"/>
      <c r="H63" s="892"/>
      <c r="I63" s="895"/>
      <c r="J63" s="892"/>
      <c r="K63" s="892"/>
      <c r="L63" s="857">
        <v>9</v>
      </c>
      <c r="M63" s="1365">
        <f>'Purchase Order SCRAFT'!M63</f>
        <v>0</v>
      </c>
      <c r="N63" s="1366">
        <f>'Purchase Order SCRAFT'!N63</f>
        <v>0</v>
      </c>
      <c r="O63" s="887">
        <f>'Purchase Order SCRAFT'!O63</f>
        <v>0</v>
      </c>
      <c r="P63" s="888">
        <f>'Purchase Order SCRAFT'!P63</f>
        <v>0</v>
      </c>
      <c r="Q63" s="888">
        <f>'Purchase Order SCRAFT'!Q63</f>
        <v>0</v>
      </c>
      <c r="R63" s="889">
        <f>'Purchase Order SCRAFT'!R63</f>
        <v>0</v>
      </c>
      <c r="S63" s="890">
        <f>'Purchase Order SCRAFT'!S63</f>
        <v>0</v>
      </c>
      <c r="U63" s="875"/>
      <c r="V63"/>
      <c r="W63"/>
      <c r="X63"/>
      <c r="Y63"/>
      <c r="Z63"/>
      <c r="AA63"/>
      <c r="AB63"/>
    </row>
    <row r="64" spans="1:33" ht="15.95" customHeight="1" x14ac:dyDescent="0.2">
      <c r="A64" s="897"/>
      <c r="B64" s="892"/>
      <c r="C64" s="892"/>
      <c r="D64" s="850">
        <v>10</v>
      </c>
      <c r="E64" s="879">
        <f>'Purchase Order SCRAFT'!E64</f>
        <v>0</v>
      </c>
      <c r="F64" s="880">
        <f>'Purchase Order SCRAFT'!F64</f>
        <v>0</v>
      </c>
      <c r="G64" s="892"/>
      <c r="H64" s="892"/>
      <c r="I64" s="892"/>
      <c r="J64" s="892"/>
      <c r="K64" s="892"/>
      <c r="L64" s="850">
        <v>10</v>
      </c>
      <c r="M64" s="1351">
        <f>'Purchase Order SCRAFT'!M64</f>
        <v>0</v>
      </c>
      <c r="N64" s="1352">
        <f>'Purchase Order SCRAFT'!N64</f>
        <v>0</v>
      </c>
      <c r="O64" s="852">
        <f>'Purchase Order SCRAFT'!O64</f>
        <v>0</v>
      </c>
      <c r="P64" s="881">
        <f>'Purchase Order SCRAFT'!P64</f>
        <v>0</v>
      </c>
      <c r="Q64" s="881">
        <f>'Purchase Order SCRAFT'!Q64</f>
        <v>0</v>
      </c>
      <c r="R64" s="881">
        <f>'Purchase Order SCRAFT'!R64</f>
        <v>0</v>
      </c>
      <c r="S64" s="882">
        <f>'Purchase Order SCRAFT'!S64</f>
        <v>0</v>
      </c>
      <c r="T64" s="834"/>
      <c r="U64" s="875"/>
      <c r="V64"/>
      <c r="W64"/>
      <c r="X64"/>
      <c r="Y64"/>
      <c r="Z64"/>
      <c r="AA64"/>
      <c r="AB64"/>
    </row>
    <row r="65" spans="1:29" ht="15" x14ac:dyDescent="0.2">
      <c r="A65" s="776"/>
      <c r="D65" s="854">
        <v>11</v>
      </c>
      <c r="E65" s="808">
        <f>'Purchase Order SCRAFT'!E65</f>
        <v>0</v>
      </c>
      <c r="F65" s="883">
        <f>'Purchase Order SCRAFT'!F65</f>
        <v>0</v>
      </c>
      <c r="L65" s="854">
        <v>11</v>
      </c>
      <c r="M65" s="1367">
        <f>'Purchase Order SCRAFT'!M65</f>
        <v>0</v>
      </c>
      <c r="N65" s="1368">
        <f>'Purchase Order SCRAFT'!N65</f>
        <v>0</v>
      </c>
      <c r="O65" s="855">
        <f>'Purchase Order SCRAFT'!O65</f>
        <v>0</v>
      </c>
      <c r="P65" s="807">
        <f>'Purchase Order SCRAFT'!P65</f>
        <v>0</v>
      </c>
      <c r="Q65" s="807">
        <f>'Purchase Order SCRAFT'!Q65</f>
        <v>0</v>
      </c>
      <c r="R65" s="807">
        <f>'Purchase Order SCRAFT'!R65</f>
        <v>0</v>
      </c>
      <c r="S65" s="884">
        <f>'Purchase Order SCRAFT'!S65</f>
        <v>0</v>
      </c>
      <c r="T65" s="834"/>
      <c r="U65" s="875"/>
      <c r="V65"/>
      <c r="W65"/>
      <c r="X65"/>
      <c r="Y65"/>
      <c r="Z65"/>
      <c r="AA65"/>
      <c r="AB65"/>
    </row>
    <row r="66" spans="1:29" ht="15" x14ac:dyDescent="0.2">
      <c r="D66" s="850">
        <v>12</v>
      </c>
      <c r="E66" s="879">
        <f>'Purchase Order SCRAFT'!E66</f>
        <v>0</v>
      </c>
      <c r="F66" s="880">
        <f>'Purchase Order SCRAFT'!F66</f>
        <v>0</v>
      </c>
      <c r="L66" s="850">
        <v>12</v>
      </c>
      <c r="M66" s="1351">
        <f>'Purchase Order SCRAFT'!M66</f>
        <v>0</v>
      </c>
      <c r="N66" s="1352">
        <f>'Purchase Order SCRAFT'!N66</f>
        <v>0</v>
      </c>
      <c r="O66" s="852">
        <f>'Purchase Order SCRAFT'!O66</f>
        <v>0</v>
      </c>
      <c r="P66" s="881">
        <f>'Purchase Order SCRAFT'!P66</f>
        <v>0</v>
      </c>
      <c r="Q66" s="881">
        <f>'Purchase Order SCRAFT'!Q66</f>
        <v>0</v>
      </c>
      <c r="R66" s="881">
        <f>'Purchase Order SCRAFT'!R66</f>
        <v>0</v>
      </c>
      <c r="S66" s="882">
        <f>'Purchase Order SCRAFT'!S66</f>
        <v>0</v>
      </c>
      <c r="T66" s="834"/>
      <c r="U66" s="875"/>
      <c r="V66"/>
      <c r="W66"/>
      <c r="X66"/>
      <c r="Y66"/>
      <c r="Z66"/>
      <c r="AA66"/>
      <c r="AB66"/>
    </row>
    <row r="67" spans="1:29" ht="15" x14ac:dyDescent="0.2">
      <c r="D67" s="857">
        <v>13</v>
      </c>
      <c r="E67" s="898">
        <f>'Purchase Order SCRAFT'!E67</f>
        <v>0</v>
      </c>
      <c r="F67" s="886">
        <f>'Purchase Order SCRAFT'!F67</f>
        <v>0</v>
      </c>
      <c r="L67" s="857">
        <v>13</v>
      </c>
      <c r="M67" s="1365">
        <f>'Purchase Order SCRAFT'!M67</f>
        <v>0</v>
      </c>
      <c r="N67" s="1366">
        <f>'Purchase Order SCRAFT'!N67</f>
        <v>0</v>
      </c>
      <c r="O67" s="887">
        <f>'Purchase Order SCRAFT'!O67</f>
        <v>0</v>
      </c>
      <c r="P67" s="888">
        <f>'Purchase Order SCRAFT'!P67</f>
        <v>0</v>
      </c>
      <c r="Q67" s="888">
        <f>'Purchase Order SCRAFT'!Q67</f>
        <v>0</v>
      </c>
      <c r="R67" s="889">
        <f>'Purchase Order SCRAFT'!R67</f>
        <v>0</v>
      </c>
      <c r="S67" s="890">
        <f>'Purchase Order SCRAFT'!S67</f>
        <v>0</v>
      </c>
      <c r="T67" s="834"/>
      <c r="U67" s="875"/>
      <c r="V67"/>
      <c r="W67"/>
      <c r="X67"/>
      <c r="Y67"/>
      <c r="Z67"/>
      <c r="AA67"/>
      <c r="AB67"/>
    </row>
    <row r="68" spans="1:29" ht="15" x14ac:dyDescent="0.2">
      <c r="D68" s="850">
        <v>14</v>
      </c>
      <c r="E68" s="879">
        <f>'Purchase Order SCRAFT'!E68</f>
        <v>0</v>
      </c>
      <c r="F68" s="880">
        <f>'Purchase Order SCRAFT'!F68</f>
        <v>0</v>
      </c>
      <c r="L68" s="850">
        <v>14</v>
      </c>
      <c r="M68" s="1351">
        <f>'Purchase Order SCRAFT'!M68</f>
        <v>0</v>
      </c>
      <c r="N68" s="1352">
        <f>'Purchase Order SCRAFT'!N68</f>
        <v>0</v>
      </c>
      <c r="O68" s="852">
        <f>'Purchase Order SCRAFT'!O68</f>
        <v>0</v>
      </c>
      <c r="P68" s="881">
        <f>'Purchase Order SCRAFT'!P68</f>
        <v>0</v>
      </c>
      <c r="Q68" s="881">
        <f>'Purchase Order SCRAFT'!Q68</f>
        <v>0</v>
      </c>
      <c r="R68" s="881">
        <f>'Purchase Order SCRAFT'!R68</f>
        <v>0</v>
      </c>
      <c r="S68" s="882">
        <f>'Purchase Order SCRAFT'!S68</f>
        <v>0</v>
      </c>
      <c r="T68" s="834"/>
      <c r="U68" s="875"/>
      <c r="V68"/>
      <c r="W68"/>
      <c r="X68"/>
      <c r="Y68"/>
      <c r="Z68"/>
      <c r="AA68"/>
      <c r="AB68"/>
    </row>
    <row r="69" spans="1:29" ht="15" x14ac:dyDescent="0.2">
      <c r="D69" s="854">
        <v>15</v>
      </c>
      <c r="E69" s="808">
        <f>'Purchase Order SCRAFT'!E69</f>
        <v>0</v>
      </c>
      <c r="F69" s="883">
        <f>'Purchase Order SCRAFT'!F69</f>
        <v>0</v>
      </c>
      <c r="L69" s="854">
        <v>15</v>
      </c>
      <c r="M69" s="1367">
        <f>'Purchase Order SCRAFT'!M69</f>
        <v>0</v>
      </c>
      <c r="N69" s="1368">
        <f>'Purchase Order SCRAFT'!N69</f>
        <v>0</v>
      </c>
      <c r="O69" s="855">
        <f>'Purchase Order SCRAFT'!O69</f>
        <v>0</v>
      </c>
      <c r="P69" s="807">
        <f>'Purchase Order SCRAFT'!P69</f>
        <v>0</v>
      </c>
      <c r="Q69" s="807">
        <f>'Purchase Order SCRAFT'!Q69</f>
        <v>0</v>
      </c>
      <c r="R69" s="807">
        <f>'Purchase Order SCRAFT'!R69</f>
        <v>0</v>
      </c>
      <c r="S69" s="884">
        <f>'Purchase Order SCRAFT'!S69</f>
        <v>0</v>
      </c>
      <c r="T69" s="834"/>
      <c r="U69" s="875"/>
      <c r="V69"/>
      <c r="W69"/>
      <c r="X69"/>
      <c r="Y69"/>
      <c r="Z69"/>
      <c r="AA69"/>
      <c r="AB69"/>
    </row>
    <row r="70" spans="1:29" ht="15" x14ac:dyDescent="0.2">
      <c r="D70" s="850">
        <v>16</v>
      </c>
      <c r="E70" s="879">
        <f>'Purchase Order SCRAFT'!E70</f>
        <v>0</v>
      </c>
      <c r="F70" s="880">
        <f>'Purchase Order SCRAFT'!F70</f>
        <v>0</v>
      </c>
      <c r="L70" s="850">
        <v>16</v>
      </c>
      <c r="M70" s="1351">
        <f>'Purchase Order SCRAFT'!M70</f>
        <v>0</v>
      </c>
      <c r="N70" s="1352">
        <f>'Purchase Order SCRAFT'!N70</f>
        <v>0</v>
      </c>
      <c r="O70" s="852">
        <f>'Purchase Order SCRAFT'!O70</f>
        <v>0</v>
      </c>
      <c r="P70" s="881">
        <f>'Purchase Order SCRAFT'!P70</f>
        <v>0</v>
      </c>
      <c r="Q70" s="881">
        <f>'Purchase Order SCRAFT'!Q70</f>
        <v>0</v>
      </c>
      <c r="R70" s="881">
        <f>'Purchase Order SCRAFT'!R70</f>
        <v>0</v>
      </c>
      <c r="S70" s="882">
        <f>'Purchase Order SCRAFT'!S70</f>
        <v>0</v>
      </c>
      <c r="T70" s="834"/>
      <c r="U70" s="875"/>
      <c r="V70"/>
      <c r="W70"/>
      <c r="X70"/>
      <c r="Y70"/>
      <c r="Z70"/>
      <c r="AA70"/>
      <c r="AB70"/>
    </row>
    <row r="71" spans="1:29" ht="15" x14ac:dyDescent="0.2">
      <c r="D71" s="857">
        <v>17</v>
      </c>
      <c r="E71" s="898">
        <f>'Purchase Order SCRAFT'!E71</f>
        <v>0</v>
      </c>
      <c r="F71" s="886">
        <f>'Purchase Order SCRAFT'!F71</f>
        <v>0</v>
      </c>
      <c r="L71" s="857">
        <v>17</v>
      </c>
      <c r="M71" s="1365">
        <f>'Purchase Order SCRAFT'!M71</f>
        <v>0</v>
      </c>
      <c r="N71" s="1366">
        <f>'Purchase Order SCRAFT'!N71</f>
        <v>0</v>
      </c>
      <c r="O71" s="887">
        <f>'Purchase Order SCRAFT'!O71</f>
        <v>0</v>
      </c>
      <c r="P71" s="888">
        <f>'Purchase Order SCRAFT'!P71</f>
        <v>0</v>
      </c>
      <c r="Q71" s="888">
        <f>'Purchase Order SCRAFT'!Q71</f>
        <v>0</v>
      </c>
      <c r="R71" s="888">
        <f>'Purchase Order SCRAFT'!R71</f>
        <v>0</v>
      </c>
      <c r="S71" s="890">
        <f>'Purchase Order SCRAFT'!S71</f>
        <v>0</v>
      </c>
      <c r="T71" s="834"/>
      <c r="U71" s="875"/>
      <c r="V71"/>
      <c r="W71"/>
      <c r="X71"/>
      <c r="Y71"/>
      <c r="Z71"/>
      <c r="AA71"/>
      <c r="AB71"/>
    </row>
    <row r="72" spans="1:29" ht="15" x14ac:dyDescent="0.2">
      <c r="D72" s="850">
        <v>18</v>
      </c>
      <c r="E72" s="879">
        <f>'Purchase Order SCRAFT'!E72</f>
        <v>0</v>
      </c>
      <c r="F72" s="880">
        <f>'Purchase Order SCRAFT'!F72</f>
        <v>0</v>
      </c>
      <c r="L72" s="850">
        <v>18</v>
      </c>
      <c r="M72" s="1351">
        <f>'Purchase Order SCRAFT'!M72</f>
        <v>0</v>
      </c>
      <c r="N72" s="1352">
        <f>'Purchase Order SCRAFT'!N72</f>
        <v>0</v>
      </c>
      <c r="O72" s="852">
        <f>'Purchase Order SCRAFT'!O72</f>
        <v>0</v>
      </c>
      <c r="P72" s="881">
        <f>'Purchase Order SCRAFT'!P72</f>
        <v>0</v>
      </c>
      <c r="Q72" s="881">
        <f>'Purchase Order SCRAFT'!Q72</f>
        <v>0</v>
      </c>
      <c r="R72" s="881">
        <f>'Purchase Order SCRAFT'!R72</f>
        <v>0</v>
      </c>
      <c r="S72" s="882">
        <f>'Purchase Order SCRAFT'!S72</f>
        <v>0</v>
      </c>
      <c r="T72" s="834"/>
      <c r="U72" s="875"/>
      <c r="V72"/>
      <c r="W72"/>
      <c r="X72"/>
      <c r="Y72"/>
      <c r="Z72"/>
      <c r="AA72"/>
      <c r="AB72"/>
    </row>
    <row r="73" spans="1:29" ht="15" x14ac:dyDescent="0.2">
      <c r="D73" s="854">
        <v>19</v>
      </c>
      <c r="E73" s="808">
        <f>'Purchase Order SCRAFT'!E73</f>
        <v>0</v>
      </c>
      <c r="F73" s="883">
        <f>'Purchase Order SCRAFT'!F73</f>
        <v>0</v>
      </c>
      <c r="L73" s="854">
        <v>19</v>
      </c>
      <c r="M73" s="1367">
        <f>'Purchase Order SCRAFT'!M73</f>
        <v>0</v>
      </c>
      <c r="N73" s="1368">
        <f>'Purchase Order SCRAFT'!N73</f>
        <v>0</v>
      </c>
      <c r="O73" s="855">
        <f>'Purchase Order SCRAFT'!O73</f>
        <v>0</v>
      </c>
      <c r="P73" s="807">
        <f>'Purchase Order SCRAFT'!P73</f>
        <v>0</v>
      </c>
      <c r="Q73" s="807">
        <f>'Purchase Order SCRAFT'!Q73</f>
        <v>0</v>
      </c>
      <c r="R73" s="807">
        <f>'Purchase Order SCRAFT'!R73</f>
        <v>0</v>
      </c>
      <c r="S73" s="884">
        <f>'Purchase Order SCRAFT'!S73</f>
        <v>0</v>
      </c>
      <c r="T73" s="834"/>
      <c r="U73" s="875"/>
      <c r="V73"/>
      <c r="W73"/>
      <c r="X73"/>
      <c r="Y73"/>
      <c r="Z73"/>
      <c r="AA73"/>
      <c r="AB73"/>
    </row>
    <row r="74" spans="1:29" ht="15.75" thickBot="1" x14ac:dyDescent="0.25">
      <c r="D74" s="863">
        <v>20</v>
      </c>
      <c r="E74" s="899">
        <f>'Purchase Order SCRAFT'!E74</f>
        <v>0</v>
      </c>
      <c r="F74" s="900">
        <f>'Purchase Order SCRAFT'!F74</f>
        <v>0</v>
      </c>
      <c r="L74" s="863">
        <v>20</v>
      </c>
      <c r="M74" s="1369">
        <f>'Purchase Order SCRAFT'!M74</f>
        <v>0</v>
      </c>
      <c r="N74" s="1370">
        <f>'Purchase Order SCRAFT'!N74</f>
        <v>0</v>
      </c>
      <c r="O74" s="866">
        <f>'Purchase Order SCRAFT'!O74</f>
        <v>0</v>
      </c>
      <c r="P74" s="901">
        <f>'Purchase Order SCRAFT'!P74</f>
        <v>0</v>
      </c>
      <c r="Q74" s="901">
        <f>'Purchase Order SCRAFT'!Q74</f>
        <v>0</v>
      </c>
      <c r="R74" s="901">
        <f>'Purchase Order SCRAFT'!R74</f>
        <v>0</v>
      </c>
      <c r="S74" s="902">
        <f>'Purchase Order SCRAFT'!S74</f>
        <v>0</v>
      </c>
      <c r="T74" s="834"/>
      <c r="U74" s="875"/>
      <c r="V74"/>
      <c r="W74"/>
      <c r="X74"/>
      <c r="Y74"/>
      <c r="Z74"/>
      <c r="AA74"/>
      <c r="AB74"/>
    </row>
    <row r="75" spans="1:29" ht="15.75" x14ac:dyDescent="0.25">
      <c r="A75" s="903"/>
      <c r="L75" s="904"/>
      <c r="M75" s="1371" t="str">
        <f>IF(Form_Type="Frame","Frame M³","Battens, Strips &amp; Build Outs M³")</f>
        <v>Battens, Strips &amp; Build Outs M³</v>
      </c>
      <c r="N75" s="1372"/>
      <c r="O75" s="1372"/>
      <c r="P75" s="1372"/>
      <c r="Q75" s="1373"/>
      <c r="R75" s="1377">
        <f>TotCuM</f>
        <v>2.2025E-3</v>
      </c>
      <c r="S75"/>
      <c r="T75"/>
      <c r="U75"/>
      <c r="V75"/>
      <c r="W75"/>
      <c r="X75"/>
      <c r="Y75"/>
      <c r="Z75"/>
      <c r="AA75"/>
      <c r="AB75"/>
    </row>
    <row r="76" spans="1:29" ht="15.95" customHeight="1" thickBot="1" x14ac:dyDescent="0.25">
      <c r="A76" s="905"/>
      <c r="B76" s="873"/>
      <c r="C76" s="842"/>
      <c r="D76" s="842"/>
      <c r="E76" s="842"/>
      <c r="F76" s="842"/>
      <c r="G76" s="842"/>
      <c r="H76" s="842"/>
      <c r="I76" s="842"/>
      <c r="J76" s="842"/>
      <c r="K76" s="842"/>
      <c r="L76" s="904"/>
      <c r="M76" s="1374"/>
      <c r="N76" s="1375"/>
      <c r="O76" s="1375"/>
      <c r="P76" s="1375"/>
      <c r="Q76" s="1376"/>
      <c r="R76" s="1378"/>
      <c r="S76"/>
      <c r="T76"/>
      <c r="U76"/>
      <c r="V76"/>
      <c r="W76"/>
      <c r="X76"/>
      <c r="Y76"/>
      <c r="Z76"/>
      <c r="AA76"/>
      <c r="AB76"/>
      <c r="AC76" s="756"/>
    </row>
    <row r="77" spans="1:29" ht="15.95" customHeight="1" x14ac:dyDescent="0.2">
      <c r="A77" s="905"/>
      <c r="B77" s="873"/>
      <c r="C77" s="842"/>
      <c r="D77" s="842"/>
      <c r="E77" s="842"/>
      <c r="F77" s="842"/>
      <c r="G77" s="842"/>
      <c r="H77" s="842"/>
      <c r="I77" s="842"/>
      <c r="J77" s="842"/>
      <c r="K77" s="842"/>
      <c r="L77" s="842"/>
      <c r="M77" s="842"/>
      <c r="N77" s="842"/>
      <c r="O77" s="906"/>
      <c r="P77" s="906"/>
      <c r="Q77" s="906"/>
      <c r="R77" s="907"/>
      <c r="S77"/>
      <c r="T77"/>
      <c r="U77"/>
      <c r="V77"/>
      <c r="W77"/>
      <c r="X77"/>
      <c r="Y77"/>
      <c r="Z77"/>
      <c r="AA77"/>
      <c r="AB77"/>
      <c r="AC77" s="756"/>
    </row>
    <row r="78" spans="1:29" ht="15.95" customHeight="1" thickBot="1" x14ac:dyDescent="0.25">
      <c r="A78" s="905"/>
      <c r="B78" s="759"/>
      <c r="C78" s="908"/>
      <c r="D78" s="908"/>
      <c r="E78" s="908"/>
      <c r="F78" s="908"/>
      <c r="G78" s="908"/>
      <c r="H78" s="908"/>
      <c r="I78" s="908"/>
      <c r="J78" s="908"/>
      <c r="K78" s="908"/>
      <c r="L78" s="908"/>
      <c r="M78" s="908"/>
      <c r="N78" s="908"/>
      <c r="O78" s="909"/>
      <c r="P78" s="909"/>
      <c r="Q78" s="909"/>
      <c r="R78" s="910"/>
      <c r="S78"/>
      <c r="T78"/>
      <c r="U78"/>
      <c r="V78"/>
      <c r="W78"/>
      <c r="X78"/>
      <c r="Y78"/>
      <c r="Z78"/>
      <c r="AA78"/>
      <c r="AB78"/>
      <c r="AC78" s="756"/>
    </row>
    <row r="79" spans="1:29" ht="15.95" customHeight="1" x14ac:dyDescent="0.2">
      <c r="A79" s="1336" t="s">
        <v>52</v>
      </c>
      <c r="B79" s="1339">
        <f>'Purchase Order SCRAFT'!B79</f>
        <v>0</v>
      </c>
      <c r="C79" s="1340">
        <f>'Purchase Order SCRAFT'!C79</f>
        <v>0</v>
      </c>
      <c r="D79" s="1340">
        <f>'Purchase Order SCRAFT'!D79</f>
        <v>0</v>
      </c>
      <c r="E79" s="1340">
        <f>'Purchase Order SCRAFT'!E79</f>
        <v>0</v>
      </c>
      <c r="F79" s="1340">
        <f>'Purchase Order SCRAFT'!F79</f>
        <v>0</v>
      </c>
      <c r="G79" s="1340">
        <f>'Purchase Order SCRAFT'!G79</f>
        <v>0</v>
      </c>
      <c r="H79" s="1340">
        <f>'Purchase Order SCRAFT'!H79</f>
        <v>0</v>
      </c>
      <c r="I79" s="1340">
        <f>'Purchase Order SCRAFT'!I79</f>
        <v>0</v>
      </c>
      <c r="J79" s="1340">
        <f>'Purchase Order SCRAFT'!J79</f>
        <v>0</v>
      </c>
      <c r="K79" s="1340">
        <f>'Purchase Order SCRAFT'!K79</f>
        <v>0</v>
      </c>
      <c r="L79" s="1340">
        <f>'Purchase Order SCRAFT'!L79</f>
        <v>0</v>
      </c>
      <c r="M79" s="1345" t="str">
        <f>'Purchase Order SCRAFT'!M79</f>
        <v/>
      </c>
      <c r="N79" s="1346">
        <f>'Purchase Order SCRAFT'!N79</f>
        <v>0</v>
      </c>
      <c r="O79" s="1347">
        <f>'Purchase Order SCRAFT'!O79</f>
        <v>0</v>
      </c>
      <c r="P79" s="1353" t="str">
        <f>'Purchase Order SCRAFT'!P79</f>
        <v/>
      </c>
      <c r="Q79" s="1354">
        <f>'Purchase Order SCRAFT'!Q79</f>
        <v>0</v>
      </c>
      <c r="R79" s="1355">
        <f>'Purchase Order SCRAFT'!R79</f>
        <v>0</v>
      </c>
      <c r="S79"/>
      <c r="T79"/>
      <c r="U79"/>
      <c r="V79"/>
      <c r="W79"/>
      <c r="X79"/>
      <c r="Y79"/>
      <c r="Z79"/>
      <c r="AA79"/>
      <c r="AB79"/>
      <c r="AC79" s="756"/>
    </row>
    <row r="80" spans="1:29" ht="15.95" customHeight="1" x14ac:dyDescent="0.2">
      <c r="A80" s="1337"/>
      <c r="B80" s="1341">
        <f>'Purchase Order SCRAFT'!B80</f>
        <v>0</v>
      </c>
      <c r="C80" s="1342">
        <f>'Purchase Order SCRAFT'!C80</f>
        <v>0</v>
      </c>
      <c r="D80" s="1342">
        <f>'Purchase Order SCRAFT'!D80</f>
        <v>0</v>
      </c>
      <c r="E80" s="1342">
        <f>'Purchase Order SCRAFT'!E80</f>
        <v>0</v>
      </c>
      <c r="F80" s="1342">
        <f>'Purchase Order SCRAFT'!F80</f>
        <v>0</v>
      </c>
      <c r="G80" s="1342">
        <f>'Purchase Order SCRAFT'!G80</f>
        <v>0</v>
      </c>
      <c r="H80" s="1342">
        <f>'Purchase Order SCRAFT'!H80</f>
        <v>0</v>
      </c>
      <c r="I80" s="1342">
        <f>'Purchase Order SCRAFT'!I80</f>
        <v>0</v>
      </c>
      <c r="J80" s="1342">
        <f>'Purchase Order SCRAFT'!J80</f>
        <v>0</v>
      </c>
      <c r="K80" s="1342">
        <f>'Purchase Order SCRAFT'!K80</f>
        <v>0</v>
      </c>
      <c r="L80" s="1342">
        <f>'Purchase Order SCRAFT'!L80</f>
        <v>0</v>
      </c>
      <c r="M80" s="1356">
        <f>'Purchase Order SCRAFT'!M80</f>
        <v>0</v>
      </c>
      <c r="N80" s="1357">
        <f>'Purchase Order SCRAFT'!N80</f>
        <v>0</v>
      </c>
      <c r="O80" s="1358">
        <f>'Purchase Order SCRAFT'!O80</f>
        <v>0</v>
      </c>
      <c r="P80" s="1359">
        <f>'Purchase Order SCRAFT'!P80</f>
        <v>0</v>
      </c>
      <c r="Q80" s="1360">
        <f>'Purchase Order SCRAFT'!Q80</f>
        <v>0</v>
      </c>
      <c r="R80" s="1361">
        <f>'Purchase Order SCRAFT'!R80</f>
        <v>0</v>
      </c>
      <c r="S80"/>
      <c r="T80"/>
      <c r="U80"/>
      <c r="V80"/>
      <c r="W80"/>
      <c r="X80"/>
      <c r="Y80"/>
      <c r="Z80"/>
      <c r="AA80"/>
      <c r="AB80"/>
      <c r="AC80" s="756"/>
    </row>
    <row r="81" spans="1:29" ht="15.95" customHeight="1" x14ac:dyDescent="0.2">
      <c r="A81" s="1337"/>
      <c r="B81" s="1341">
        <f>'Purchase Order SCRAFT'!B81</f>
        <v>0</v>
      </c>
      <c r="C81" s="1342">
        <f>'Purchase Order SCRAFT'!C81</f>
        <v>0</v>
      </c>
      <c r="D81" s="1342">
        <f>'Purchase Order SCRAFT'!D81</f>
        <v>0</v>
      </c>
      <c r="E81" s="1342">
        <f>'Purchase Order SCRAFT'!E81</f>
        <v>0</v>
      </c>
      <c r="F81" s="1342">
        <f>'Purchase Order SCRAFT'!F81</f>
        <v>0</v>
      </c>
      <c r="G81" s="1342">
        <f>'Purchase Order SCRAFT'!G81</f>
        <v>0</v>
      </c>
      <c r="H81" s="1342">
        <f>'Purchase Order SCRAFT'!H81</f>
        <v>0</v>
      </c>
      <c r="I81" s="1342">
        <f>'Purchase Order SCRAFT'!I81</f>
        <v>0</v>
      </c>
      <c r="J81" s="1342">
        <f>'Purchase Order SCRAFT'!J81</f>
        <v>0</v>
      </c>
      <c r="K81" s="1342">
        <f>'Purchase Order SCRAFT'!K81</f>
        <v>0</v>
      </c>
      <c r="L81" s="1342">
        <f>'Purchase Order SCRAFT'!L81</f>
        <v>0</v>
      </c>
      <c r="M81" s="1356">
        <f>'Purchase Order SCRAFT'!M81</f>
        <v>0</v>
      </c>
      <c r="N81" s="1357">
        <f>'Purchase Order SCRAFT'!N81</f>
        <v>0</v>
      </c>
      <c r="O81" s="1358">
        <f>'Purchase Order SCRAFT'!O81</f>
        <v>0</v>
      </c>
      <c r="P81" s="1359">
        <f>'Purchase Order SCRAFT'!P81</f>
        <v>0</v>
      </c>
      <c r="Q81" s="1360">
        <f>'Purchase Order SCRAFT'!Q81</f>
        <v>0</v>
      </c>
      <c r="R81" s="1361">
        <f>'Purchase Order SCRAFT'!R81</f>
        <v>0</v>
      </c>
      <c r="S81"/>
      <c r="T81"/>
      <c r="U81"/>
      <c r="V81"/>
      <c r="W81"/>
      <c r="X81"/>
      <c r="Y81"/>
      <c r="Z81"/>
      <c r="AA81"/>
      <c r="AB81"/>
      <c r="AC81" s="756"/>
    </row>
    <row r="82" spans="1:29" ht="15.95" customHeight="1" x14ac:dyDescent="0.2">
      <c r="A82" s="1337"/>
      <c r="B82" s="1341">
        <f>'Purchase Order SCRAFT'!B82</f>
        <v>0</v>
      </c>
      <c r="C82" s="1342">
        <f>'Purchase Order SCRAFT'!C82</f>
        <v>0</v>
      </c>
      <c r="D82" s="1342">
        <f>'Purchase Order SCRAFT'!D82</f>
        <v>0</v>
      </c>
      <c r="E82" s="1342">
        <f>'Purchase Order SCRAFT'!E82</f>
        <v>0</v>
      </c>
      <c r="F82" s="1342">
        <f>'Purchase Order SCRAFT'!F82</f>
        <v>0</v>
      </c>
      <c r="G82" s="1342">
        <f>'Purchase Order SCRAFT'!G82</f>
        <v>0</v>
      </c>
      <c r="H82" s="1342">
        <f>'Purchase Order SCRAFT'!H82</f>
        <v>0</v>
      </c>
      <c r="I82" s="1342">
        <f>'Purchase Order SCRAFT'!I82</f>
        <v>0</v>
      </c>
      <c r="J82" s="1342">
        <f>'Purchase Order SCRAFT'!J82</f>
        <v>0</v>
      </c>
      <c r="K82" s="1342">
        <f>'Purchase Order SCRAFT'!K82</f>
        <v>0</v>
      </c>
      <c r="L82" s="1342">
        <f>'Purchase Order SCRAFT'!L82</f>
        <v>0</v>
      </c>
      <c r="M82" s="1356">
        <f>'Purchase Order SCRAFT'!M82</f>
        <v>0</v>
      </c>
      <c r="N82" s="1357">
        <f>'Purchase Order SCRAFT'!N82</f>
        <v>0</v>
      </c>
      <c r="O82" s="1358">
        <f>'Purchase Order SCRAFT'!O82</f>
        <v>0</v>
      </c>
      <c r="P82" s="1359">
        <f>'Purchase Order SCRAFT'!P82</f>
        <v>0</v>
      </c>
      <c r="Q82" s="1360">
        <f>'Purchase Order SCRAFT'!Q82</f>
        <v>0</v>
      </c>
      <c r="R82" s="1361">
        <f>'Purchase Order SCRAFT'!R82</f>
        <v>0</v>
      </c>
      <c r="S82"/>
      <c r="T82"/>
      <c r="U82"/>
      <c r="V82"/>
      <c r="W82"/>
      <c r="X82"/>
      <c r="Y82"/>
      <c r="Z82"/>
      <c r="AA82"/>
      <c r="AB82"/>
      <c r="AC82" s="756"/>
    </row>
    <row r="83" spans="1:29" ht="15.95" customHeight="1" x14ac:dyDescent="0.2">
      <c r="A83" s="1337"/>
      <c r="B83" s="1341">
        <f>'Purchase Order SCRAFT'!B83</f>
        <v>0</v>
      </c>
      <c r="C83" s="1342">
        <f>'Purchase Order SCRAFT'!C83</f>
        <v>0</v>
      </c>
      <c r="D83" s="1342">
        <f>'Purchase Order SCRAFT'!D83</f>
        <v>0</v>
      </c>
      <c r="E83" s="1342">
        <f>'Purchase Order SCRAFT'!E83</f>
        <v>0</v>
      </c>
      <c r="F83" s="1342">
        <f>'Purchase Order SCRAFT'!F83</f>
        <v>0</v>
      </c>
      <c r="G83" s="1342">
        <f>'Purchase Order SCRAFT'!G83</f>
        <v>0</v>
      </c>
      <c r="H83" s="1342">
        <f>'Purchase Order SCRAFT'!H83</f>
        <v>0</v>
      </c>
      <c r="I83" s="1342">
        <f>'Purchase Order SCRAFT'!I83</f>
        <v>0</v>
      </c>
      <c r="J83" s="1342">
        <f>'Purchase Order SCRAFT'!J83</f>
        <v>0</v>
      </c>
      <c r="K83" s="1342">
        <f>'Purchase Order SCRAFT'!K83</f>
        <v>0</v>
      </c>
      <c r="L83" s="1342">
        <f>'Purchase Order SCRAFT'!L83</f>
        <v>0</v>
      </c>
      <c r="M83" s="1382">
        <f>'Purchase Order SCRAFT'!M83</f>
        <v>0</v>
      </c>
      <c r="N83" s="1383">
        <f>'Purchase Order SCRAFT'!N83</f>
        <v>0</v>
      </c>
      <c r="O83" s="1384">
        <f>'Purchase Order SCRAFT'!O83</f>
        <v>0</v>
      </c>
      <c r="P83" s="1359">
        <f>'Purchase Order SCRAFT'!P83</f>
        <v>0</v>
      </c>
      <c r="Q83" s="1360">
        <f>'Purchase Order SCRAFT'!Q83</f>
        <v>0</v>
      </c>
      <c r="R83" s="1361">
        <f>'Purchase Order SCRAFT'!R83</f>
        <v>0</v>
      </c>
      <c r="S83"/>
      <c r="T83"/>
      <c r="U83"/>
      <c r="V83"/>
      <c r="W83"/>
      <c r="X83"/>
      <c r="Y83"/>
      <c r="Z83"/>
      <c r="AA83"/>
      <c r="AB83"/>
      <c r="AC83" s="756"/>
    </row>
    <row r="84" spans="1:29" ht="15.95" customHeight="1" thickBot="1" x14ac:dyDescent="0.25">
      <c r="A84" s="1338"/>
      <c r="B84" s="1343">
        <f>'Purchase Order SCRAFT'!B84</f>
        <v>0</v>
      </c>
      <c r="C84" s="1344">
        <f>'Purchase Order SCRAFT'!C84</f>
        <v>0</v>
      </c>
      <c r="D84" s="1344">
        <f>'Purchase Order SCRAFT'!D84</f>
        <v>0</v>
      </c>
      <c r="E84" s="1344">
        <f>'Purchase Order SCRAFT'!E84</f>
        <v>0</v>
      </c>
      <c r="F84" s="1344">
        <f>'Purchase Order SCRAFT'!F84</f>
        <v>0</v>
      </c>
      <c r="G84" s="1344">
        <f>'Purchase Order SCRAFT'!G84</f>
        <v>0</v>
      </c>
      <c r="H84" s="1344">
        <f>'Purchase Order SCRAFT'!H84</f>
        <v>0</v>
      </c>
      <c r="I84" s="1344">
        <f>'Purchase Order SCRAFT'!I84</f>
        <v>0</v>
      </c>
      <c r="J84" s="1344">
        <f>'Purchase Order SCRAFT'!J84</f>
        <v>0</v>
      </c>
      <c r="K84" s="1344">
        <f>'Purchase Order SCRAFT'!K84</f>
        <v>0</v>
      </c>
      <c r="L84" s="1344">
        <f>'Purchase Order SCRAFT'!L84</f>
        <v>0</v>
      </c>
      <c r="M84" s="1379">
        <f>'Purchase Order SCRAFT'!M84</f>
        <v>0</v>
      </c>
      <c r="N84" s="1380">
        <f>'Purchase Order SCRAFT'!N84</f>
        <v>0</v>
      </c>
      <c r="O84" s="1381">
        <f>'Purchase Order SCRAFT'!O84</f>
        <v>0</v>
      </c>
      <c r="P84" s="1362">
        <f>'Purchase Order SCRAFT'!P84</f>
        <v>0</v>
      </c>
      <c r="Q84" s="1363">
        <f>'Purchase Order SCRAFT'!Q84</f>
        <v>0</v>
      </c>
      <c r="R84" s="1364">
        <f>'Purchase Order SCRAFT'!R84</f>
        <v>0</v>
      </c>
      <c r="S84"/>
      <c r="T84"/>
      <c r="U84"/>
      <c r="V84"/>
      <c r="W84"/>
      <c r="X84"/>
      <c r="Y84"/>
      <c r="Z84"/>
      <c r="AA84"/>
      <c r="AB84"/>
      <c r="AC84" s="756"/>
    </row>
    <row r="85" spans="1:29" ht="15" x14ac:dyDescent="0.2">
      <c r="S85"/>
      <c r="T85"/>
      <c r="U85"/>
      <c r="V85"/>
      <c r="W85"/>
      <c r="X85"/>
      <c r="Y85"/>
      <c r="Z85"/>
      <c r="AA85"/>
      <c r="AB85"/>
    </row>
    <row r="86" spans="1:29" ht="15" x14ac:dyDescent="0.2">
      <c r="S86"/>
      <c r="T86"/>
      <c r="U86"/>
      <c r="V86"/>
      <c r="W86"/>
      <c r="X86"/>
      <c r="Y86"/>
      <c r="Z86"/>
      <c r="AA86"/>
      <c r="AB86"/>
    </row>
  </sheetData>
  <sheetProtection password="F46C" sheet="1" objects="1" scenarios="1"/>
  <mergeCells count="234">
    <mergeCell ref="G1:J1"/>
    <mergeCell ref="M1:O1"/>
    <mergeCell ref="S1:X1"/>
    <mergeCell ref="Y1:AB3"/>
    <mergeCell ref="G3:J3"/>
    <mergeCell ref="M3:O3"/>
    <mergeCell ref="S3:X3"/>
    <mergeCell ref="A5:B5"/>
    <mergeCell ref="H5:I5"/>
    <mergeCell ref="M6:N6"/>
    <mergeCell ref="Q6:R6"/>
    <mergeCell ref="V6:W6"/>
    <mergeCell ref="Z6:AB6"/>
    <mergeCell ref="AC6:AD6"/>
    <mergeCell ref="AE6:AH6"/>
    <mergeCell ref="M7:N7"/>
    <mergeCell ref="Q7:R7"/>
    <mergeCell ref="V7:W7"/>
    <mergeCell ref="Z7:AB7"/>
    <mergeCell ref="AC7:AD7"/>
    <mergeCell ref="AE7:AH7"/>
    <mergeCell ref="M8:N8"/>
    <mergeCell ref="Q8:R8"/>
    <mergeCell ref="V8:W8"/>
    <mergeCell ref="Z8:AB8"/>
    <mergeCell ref="AC8:AD8"/>
    <mergeCell ref="AE8:AH8"/>
    <mergeCell ref="M9:N9"/>
    <mergeCell ref="Q9:R9"/>
    <mergeCell ref="V9:W9"/>
    <mergeCell ref="Z9:AB9"/>
    <mergeCell ref="AC9:AD9"/>
    <mergeCell ref="AE9:AH9"/>
    <mergeCell ref="M10:N10"/>
    <mergeCell ref="Q10:R10"/>
    <mergeCell ref="V10:W10"/>
    <mergeCell ref="Z10:AB10"/>
    <mergeCell ref="AC10:AD10"/>
    <mergeCell ref="AE10:AH10"/>
    <mergeCell ref="M11:N11"/>
    <mergeCell ref="Q11:R11"/>
    <mergeCell ref="V11:W11"/>
    <mergeCell ref="Z11:AB11"/>
    <mergeCell ref="AC11:AD11"/>
    <mergeCell ref="AE11:AH11"/>
    <mergeCell ref="M12:N12"/>
    <mergeCell ref="Q12:R12"/>
    <mergeCell ref="V12:W12"/>
    <mergeCell ref="Z12:AB12"/>
    <mergeCell ref="AC12:AD12"/>
    <mergeCell ref="AE12:AH12"/>
    <mergeCell ref="M13:N13"/>
    <mergeCell ref="Q13:R13"/>
    <mergeCell ref="V13:W13"/>
    <mergeCell ref="Z13:AB13"/>
    <mergeCell ref="AC13:AD13"/>
    <mergeCell ref="AE13:AH13"/>
    <mergeCell ref="M14:N14"/>
    <mergeCell ref="Q14:R14"/>
    <mergeCell ref="V14:W14"/>
    <mergeCell ref="Z14:AB14"/>
    <mergeCell ref="AC14:AD14"/>
    <mergeCell ref="AE14:AH14"/>
    <mergeCell ref="M15:N15"/>
    <mergeCell ref="Q15:R15"/>
    <mergeCell ref="V15:W15"/>
    <mergeCell ref="Z15:AB15"/>
    <mergeCell ref="AC15:AD15"/>
    <mergeCell ref="AE15:AH15"/>
    <mergeCell ref="M16:N16"/>
    <mergeCell ref="Q16:R16"/>
    <mergeCell ref="V16:W16"/>
    <mergeCell ref="Z16:AB16"/>
    <mergeCell ref="AC16:AD16"/>
    <mergeCell ref="AE16:AH16"/>
    <mergeCell ref="M17:N17"/>
    <mergeCell ref="Q17:R17"/>
    <mergeCell ref="V17:W17"/>
    <mergeCell ref="Z17:AB17"/>
    <mergeCell ref="AC17:AD17"/>
    <mergeCell ref="AE17:AH17"/>
    <mergeCell ref="M18:N18"/>
    <mergeCell ref="Q18:R18"/>
    <mergeCell ref="V18:W18"/>
    <mergeCell ref="Z18:AB18"/>
    <mergeCell ref="AC18:AD18"/>
    <mergeCell ref="AE18:AH18"/>
    <mergeCell ref="M19:N19"/>
    <mergeCell ref="Q19:R19"/>
    <mergeCell ref="V19:W19"/>
    <mergeCell ref="Z19:AB19"/>
    <mergeCell ref="AC19:AD19"/>
    <mergeCell ref="AE19:AH19"/>
    <mergeCell ref="M20:N20"/>
    <mergeCell ref="Q20:R20"/>
    <mergeCell ref="V20:W20"/>
    <mergeCell ref="Z20:AB20"/>
    <mergeCell ref="AC20:AD20"/>
    <mergeCell ref="AE20:AH20"/>
    <mergeCell ref="M21:N21"/>
    <mergeCell ref="Q21:R21"/>
    <mergeCell ref="V21:W21"/>
    <mergeCell ref="Z21:AB21"/>
    <mergeCell ref="AC21:AD21"/>
    <mergeCell ref="AE21:AH21"/>
    <mergeCell ref="M22:N22"/>
    <mergeCell ref="Q22:R22"/>
    <mergeCell ref="V22:W22"/>
    <mergeCell ref="Z22:AB22"/>
    <mergeCell ref="AC22:AD22"/>
    <mergeCell ref="AE22:AH22"/>
    <mergeCell ref="M23:N23"/>
    <mergeCell ref="Q23:R23"/>
    <mergeCell ref="V23:W23"/>
    <mergeCell ref="Z23:AB23"/>
    <mergeCell ref="AC23:AD23"/>
    <mergeCell ref="AE23:AH23"/>
    <mergeCell ref="M26:N26"/>
    <mergeCell ref="Q26:R26"/>
    <mergeCell ref="V26:W26"/>
    <mergeCell ref="Z26:AB26"/>
    <mergeCell ref="AC26:AD26"/>
    <mergeCell ref="AE26:AH26"/>
    <mergeCell ref="E27:F27"/>
    <mergeCell ref="W27:X27"/>
    <mergeCell ref="M24:N24"/>
    <mergeCell ref="Q24:R24"/>
    <mergeCell ref="V24:W24"/>
    <mergeCell ref="Z24:AB24"/>
    <mergeCell ref="AC24:AD24"/>
    <mergeCell ref="AE24:AH24"/>
    <mergeCell ref="M25:N25"/>
    <mergeCell ref="Q25:R25"/>
    <mergeCell ref="V25:W25"/>
    <mergeCell ref="Z25:AB25"/>
    <mergeCell ref="AC25:AD25"/>
    <mergeCell ref="AE25:AH25"/>
    <mergeCell ref="D30:E30"/>
    <mergeCell ref="F30:G30"/>
    <mergeCell ref="AD30:AE30"/>
    <mergeCell ref="D31:E31"/>
    <mergeCell ref="F31:G31"/>
    <mergeCell ref="AD31:AE31"/>
    <mergeCell ref="D32:E32"/>
    <mergeCell ref="F32:G32"/>
    <mergeCell ref="AD32:AE32"/>
    <mergeCell ref="D33:E33"/>
    <mergeCell ref="F33:G33"/>
    <mergeCell ref="AD33:AE33"/>
    <mergeCell ref="D34:E34"/>
    <mergeCell ref="F34:G34"/>
    <mergeCell ref="AD34:AE34"/>
    <mergeCell ref="D35:E35"/>
    <mergeCell ref="F35:G35"/>
    <mergeCell ref="AD35:AE35"/>
    <mergeCell ref="D36:E36"/>
    <mergeCell ref="F36:G36"/>
    <mergeCell ref="AD36:AE36"/>
    <mergeCell ref="D37:E37"/>
    <mergeCell ref="F37:G37"/>
    <mergeCell ref="AD37:AE37"/>
    <mergeCell ref="D38:E38"/>
    <mergeCell ref="F38:G38"/>
    <mergeCell ref="AD38:AE38"/>
    <mergeCell ref="D39:E39"/>
    <mergeCell ref="F39:G39"/>
    <mergeCell ref="AD39:AE39"/>
    <mergeCell ref="D40:E40"/>
    <mergeCell ref="F40:G40"/>
    <mergeCell ref="AD40:AE40"/>
    <mergeCell ref="D41:E41"/>
    <mergeCell ref="F41:G41"/>
    <mergeCell ref="AD41:AE41"/>
    <mergeCell ref="D42:E42"/>
    <mergeCell ref="F42:G42"/>
    <mergeCell ref="AD42:AE42"/>
    <mergeCell ref="D43:E43"/>
    <mergeCell ref="F43:G43"/>
    <mergeCell ref="AD43:AE43"/>
    <mergeCell ref="D44:E44"/>
    <mergeCell ref="F44:G44"/>
    <mergeCell ref="AD44:AE44"/>
    <mergeCell ref="D45:E45"/>
    <mergeCell ref="F45:G45"/>
    <mergeCell ref="AD45:AE45"/>
    <mergeCell ref="D46:E46"/>
    <mergeCell ref="F46:G46"/>
    <mergeCell ref="AD46:AE46"/>
    <mergeCell ref="AD49:AE49"/>
    <mergeCell ref="D50:E50"/>
    <mergeCell ref="F50:G50"/>
    <mergeCell ref="AD50:AE50"/>
    <mergeCell ref="D47:E47"/>
    <mergeCell ref="F47:G47"/>
    <mergeCell ref="AD47:AE47"/>
    <mergeCell ref="D48:E48"/>
    <mergeCell ref="F48:G48"/>
    <mergeCell ref="AD48:AE48"/>
    <mergeCell ref="M67:N67"/>
    <mergeCell ref="M68:N68"/>
    <mergeCell ref="M69:N69"/>
    <mergeCell ref="M54:N54"/>
    <mergeCell ref="M55:N55"/>
    <mergeCell ref="M56:N56"/>
    <mergeCell ref="M57:N57"/>
    <mergeCell ref="M58:N58"/>
    <mergeCell ref="D49:E49"/>
    <mergeCell ref="F49:G49"/>
    <mergeCell ref="M59:N59"/>
    <mergeCell ref="M60:N60"/>
    <mergeCell ref="A79:A84"/>
    <mergeCell ref="B79:L84"/>
    <mergeCell ref="M79:O79"/>
    <mergeCell ref="A29:AE29"/>
    <mergeCell ref="M70:N70"/>
    <mergeCell ref="P79:R79"/>
    <mergeCell ref="M80:O80"/>
    <mergeCell ref="P80:R84"/>
    <mergeCell ref="M71:N71"/>
    <mergeCell ref="M72:N72"/>
    <mergeCell ref="M73:N73"/>
    <mergeCell ref="M74:N74"/>
    <mergeCell ref="M75:Q76"/>
    <mergeCell ref="R75:R76"/>
    <mergeCell ref="M84:O84"/>
    <mergeCell ref="M81:O81"/>
    <mergeCell ref="M82:O82"/>
    <mergeCell ref="M83:O83"/>
    <mergeCell ref="M61:N61"/>
    <mergeCell ref="M62:N62"/>
    <mergeCell ref="M63:N63"/>
    <mergeCell ref="M64:N64"/>
    <mergeCell ref="M65:N65"/>
    <mergeCell ref="M66:N66"/>
  </mergeCells>
  <printOptions horizontalCentered="1" verticalCentered="1"/>
  <pageMargins left="0.23622047244094491" right="0.23622047244094491" top="0.19685039370078741" bottom="0.19685039370078741" header="0" footer="0"/>
  <pageSetup paperSize="9" scale="40" orientation="landscape" horizontalDpi="300" verticalDpi="300" r:id="rId1"/>
  <headerFooter alignWithMargins="0">
    <oddHeader>&amp;L&amp;10
Date &amp;D&amp;C&amp;"Arial,Bold"&amp;18S:CRAFT Order Card&amp;R&amp;10
sales@s-craft.co.uk</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2225" r:id="rId4" name="Option Button 1">
              <controlPr defaultSize="0" autoFill="0" autoLine="0" autoPict="0" altText="Normal">
                <anchor moveWithCells="1">
                  <from>
                    <xdr:col>12</xdr:col>
                    <xdr:colOff>38100</xdr:colOff>
                    <xdr:row>3</xdr:row>
                    <xdr:rowOff>0</xdr:rowOff>
                  </from>
                  <to>
                    <xdr:col>13</xdr:col>
                    <xdr:colOff>9525</xdr:colOff>
                    <xdr:row>4</xdr:row>
                    <xdr:rowOff>171450</xdr:rowOff>
                  </to>
                </anchor>
              </controlPr>
            </control>
          </mc:Choice>
        </mc:AlternateContent>
        <mc:AlternateContent xmlns:mc="http://schemas.openxmlformats.org/markup-compatibility/2006">
          <mc:Choice Requires="x14">
            <control shapeId="52226" r:id="rId5" name="Option Button 2">
              <controlPr defaultSize="0" autoFill="0" autoLine="0" autoPict="0">
                <anchor moveWithCells="1">
                  <from>
                    <xdr:col>13</xdr:col>
                    <xdr:colOff>0</xdr:colOff>
                    <xdr:row>3</xdr:row>
                    <xdr:rowOff>9525</xdr:rowOff>
                  </from>
                  <to>
                    <xdr:col>14</xdr:col>
                    <xdr:colOff>266700</xdr:colOff>
                    <xdr:row>4</xdr:row>
                    <xdr:rowOff>171450</xdr:rowOff>
                  </to>
                </anchor>
              </controlPr>
            </control>
          </mc:Choice>
        </mc:AlternateContent>
        <mc:AlternateContent xmlns:mc="http://schemas.openxmlformats.org/markup-compatibility/2006">
          <mc:Choice Requires="x14">
            <control shapeId="52307" r:id="rId6" name="Check Box 83">
              <controlPr defaultSize="0" autoFill="0" autoLine="0" autoPict="0">
                <anchor moveWithCells="1">
                  <from>
                    <xdr:col>10</xdr:col>
                    <xdr:colOff>190500</xdr:colOff>
                    <xdr:row>6</xdr:row>
                    <xdr:rowOff>0</xdr:rowOff>
                  </from>
                  <to>
                    <xdr:col>10</xdr:col>
                    <xdr:colOff>409575</xdr:colOff>
                    <xdr:row>7</xdr:row>
                    <xdr:rowOff>9525</xdr:rowOff>
                  </to>
                </anchor>
              </controlPr>
            </control>
          </mc:Choice>
        </mc:AlternateContent>
        <mc:AlternateContent xmlns:mc="http://schemas.openxmlformats.org/markup-compatibility/2006">
          <mc:Choice Requires="x14">
            <control shapeId="52308" r:id="rId7" name="Check Box 84">
              <controlPr defaultSize="0" autoFill="0" autoLine="0" autoPict="0">
                <anchor moveWithCells="1">
                  <from>
                    <xdr:col>10</xdr:col>
                    <xdr:colOff>190500</xdr:colOff>
                    <xdr:row>6</xdr:row>
                    <xdr:rowOff>190500</xdr:rowOff>
                  </from>
                  <to>
                    <xdr:col>10</xdr:col>
                    <xdr:colOff>409575</xdr:colOff>
                    <xdr:row>8</xdr:row>
                    <xdr:rowOff>0</xdr:rowOff>
                  </to>
                </anchor>
              </controlPr>
            </control>
          </mc:Choice>
        </mc:AlternateContent>
        <mc:AlternateContent xmlns:mc="http://schemas.openxmlformats.org/markup-compatibility/2006">
          <mc:Choice Requires="x14">
            <control shapeId="52309" r:id="rId8" name="Check Box 85">
              <controlPr defaultSize="0" autoFill="0" autoLine="0" autoPict="0">
                <anchor moveWithCells="1">
                  <from>
                    <xdr:col>10</xdr:col>
                    <xdr:colOff>190500</xdr:colOff>
                    <xdr:row>8</xdr:row>
                    <xdr:rowOff>0</xdr:rowOff>
                  </from>
                  <to>
                    <xdr:col>10</xdr:col>
                    <xdr:colOff>409575</xdr:colOff>
                    <xdr:row>9</xdr:row>
                    <xdr:rowOff>9525</xdr:rowOff>
                  </to>
                </anchor>
              </controlPr>
            </control>
          </mc:Choice>
        </mc:AlternateContent>
        <mc:AlternateContent xmlns:mc="http://schemas.openxmlformats.org/markup-compatibility/2006">
          <mc:Choice Requires="x14">
            <control shapeId="52310" r:id="rId9" name="Check Box 86">
              <controlPr defaultSize="0" autoFill="0" autoLine="0" autoPict="0">
                <anchor moveWithCells="1">
                  <from>
                    <xdr:col>10</xdr:col>
                    <xdr:colOff>190500</xdr:colOff>
                    <xdr:row>9</xdr:row>
                    <xdr:rowOff>0</xdr:rowOff>
                  </from>
                  <to>
                    <xdr:col>10</xdr:col>
                    <xdr:colOff>409575</xdr:colOff>
                    <xdr:row>10</xdr:row>
                    <xdr:rowOff>9525</xdr:rowOff>
                  </to>
                </anchor>
              </controlPr>
            </control>
          </mc:Choice>
        </mc:AlternateContent>
        <mc:AlternateContent xmlns:mc="http://schemas.openxmlformats.org/markup-compatibility/2006">
          <mc:Choice Requires="x14">
            <control shapeId="52311" r:id="rId10" name="Check Box 87">
              <controlPr defaultSize="0" autoFill="0" autoLine="0" autoPict="0">
                <anchor moveWithCells="1">
                  <from>
                    <xdr:col>10</xdr:col>
                    <xdr:colOff>190500</xdr:colOff>
                    <xdr:row>9</xdr:row>
                    <xdr:rowOff>190500</xdr:rowOff>
                  </from>
                  <to>
                    <xdr:col>10</xdr:col>
                    <xdr:colOff>409575</xdr:colOff>
                    <xdr:row>11</xdr:row>
                    <xdr:rowOff>0</xdr:rowOff>
                  </to>
                </anchor>
              </controlPr>
            </control>
          </mc:Choice>
        </mc:AlternateContent>
        <mc:AlternateContent xmlns:mc="http://schemas.openxmlformats.org/markup-compatibility/2006">
          <mc:Choice Requires="x14">
            <control shapeId="52312" r:id="rId11" name="Check Box 88">
              <controlPr defaultSize="0" autoFill="0" autoLine="0" autoPict="0">
                <anchor moveWithCells="1">
                  <from>
                    <xdr:col>10</xdr:col>
                    <xdr:colOff>190500</xdr:colOff>
                    <xdr:row>10</xdr:row>
                    <xdr:rowOff>200025</xdr:rowOff>
                  </from>
                  <to>
                    <xdr:col>10</xdr:col>
                    <xdr:colOff>409575</xdr:colOff>
                    <xdr:row>12</xdr:row>
                    <xdr:rowOff>9525</xdr:rowOff>
                  </to>
                </anchor>
              </controlPr>
            </control>
          </mc:Choice>
        </mc:AlternateContent>
        <mc:AlternateContent xmlns:mc="http://schemas.openxmlformats.org/markup-compatibility/2006">
          <mc:Choice Requires="x14">
            <control shapeId="52313" r:id="rId12" name="Check Box 89">
              <controlPr defaultSize="0" autoFill="0" autoLine="0" autoPict="0">
                <anchor moveWithCells="1">
                  <from>
                    <xdr:col>10</xdr:col>
                    <xdr:colOff>190500</xdr:colOff>
                    <xdr:row>11</xdr:row>
                    <xdr:rowOff>190500</xdr:rowOff>
                  </from>
                  <to>
                    <xdr:col>10</xdr:col>
                    <xdr:colOff>409575</xdr:colOff>
                    <xdr:row>13</xdr:row>
                    <xdr:rowOff>0</xdr:rowOff>
                  </to>
                </anchor>
              </controlPr>
            </control>
          </mc:Choice>
        </mc:AlternateContent>
        <mc:AlternateContent xmlns:mc="http://schemas.openxmlformats.org/markup-compatibility/2006">
          <mc:Choice Requires="x14">
            <control shapeId="52314" r:id="rId13" name="Check Box 90">
              <controlPr defaultSize="0" autoFill="0" autoLine="0" autoPict="0">
                <anchor moveWithCells="1">
                  <from>
                    <xdr:col>10</xdr:col>
                    <xdr:colOff>190500</xdr:colOff>
                    <xdr:row>12</xdr:row>
                    <xdr:rowOff>190500</xdr:rowOff>
                  </from>
                  <to>
                    <xdr:col>10</xdr:col>
                    <xdr:colOff>409575</xdr:colOff>
                    <xdr:row>14</xdr:row>
                    <xdr:rowOff>0</xdr:rowOff>
                  </to>
                </anchor>
              </controlPr>
            </control>
          </mc:Choice>
        </mc:AlternateContent>
        <mc:AlternateContent xmlns:mc="http://schemas.openxmlformats.org/markup-compatibility/2006">
          <mc:Choice Requires="x14">
            <control shapeId="52315" r:id="rId14" name="Check Box 91">
              <controlPr defaultSize="0" autoFill="0" autoLine="0" autoPict="0">
                <anchor moveWithCells="1">
                  <from>
                    <xdr:col>10</xdr:col>
                    <xdr:colOff>190500</xdr:colOff>
                    <xdr:row>13</xdr:row>
                    <xdr:rowOff>190500</xdr:rowOff>
                  </from>
                  <to>
                    <xdr:col>10</xdr:col>
                    <xdr:colOff>409575</xdr:colOff>
                    <xdr:row>15</xdr:row>
                    <xdr:rowOff>0</xdr:rowOff>
                  </to>
                </anchor>
              </controlPr>
            </control>
          </mc:Choice>
        </mc:AlternateContent>
        <mc:AlternateContent xmlns:mc="http://schemas.openxmlformats.org/markup-compatibility/2006">
          <mc:Choice Requires="x14">
            <control shapeId="52316" r:id="rId15" name="Check Box 92">
              <controlPr defaultSize="0" autoFill="0" autoLine="0" autoPict="0">
                <anchor moveWithCells="1">
                  <from>
                    <xdr:col>10</xdr:col>
                    <xdr:colOff>190500</xdr:colOff>
                    <xdr:row>14</xdr:row>
                    <xdr:rowOff>190500</xdr:rowOff>
                  </from>
                  <to>
                    <xdr:col>10</xdr:col>
                    <xdr:colOff>409575</xdr:colOff>
                    <xdr:row>16</xdr:row>
                    <xdr:rowOff>0</xdr:rowOff>
                  </to>
                </anchor>
              </controlPr>
            </control>
          </mc:Choice>
        </mc:AlternateContent>
        <mc:AlternateContent xmlns:mc="http://schemas.openxmlformats.org/markup-compatibility/2006">
          <mc:Choice Requires="x14">
            <control shapeId="52317" r:id="rId16" name="Check Box 93">
              <controlPr defaultSize="0" autoFill="0" autoLine="0" autoPict="0">
                <anchor moveWithCells="1">
                  <from>
                    <xdr:col>10</xdr:col>
                    <xdr:colOff>190500</xdr:colOff>
                    <xdr:row>15</xdr:row>
                    <xdr:rowOff>190500</xdr:rowOff>
                  </from>
                  <to>
                    <xdr:col>10</xdr:col>
                    <xdr:colOff>409575</xdr:colOff>
                    <xdr:row>17</xdr:row>
                    <xdr:rowOff>0</xdr:rowOff>
                  </to>
                </anchor>
              </controlPr>
            </control>
          </mc:Choice>
        </mc:AlternateContent>
        <mc:AlternateContent xmlns:mc="http://schemas.openxmlformats.org/markup-compatibility/2006">
          <mc:Choice Requires="x14">
            <control shapeId="52318" r:id="rId17" name="Check Box 94">
              <controlPr defaultSize="0" autoFill="0" autoLine="0" autoPict="0">
                <anchor moveWithCells="1">
                  <from>
                    <xdr:col>10</xdr:col>
                    <xdr:colOff>190500</xdr:colOff>
                    <xdr:row>16</xdr:row>
                    <xdr:rowOff>190500</xdr:rowOff>
                  </from>
                  <to>
                    <xdr:col>10</xdr:col>
                    <xdr:colOff>409575</xdr:colOff>
                    <xdr:row>18</xdr:row>
                    <xdr:rowOff>0</xdr:rowOff>
                  </to>
                </anchor>
              </controlPr>
            </control>
          </mc:Choice>
        </mc:AlternateContent>
        <mc:AlternateContent xmlns:mc="http://schemas.openxmlformats.org/markup-compatibility/2006">
          <mc:Choice Requires="x14">
            <control shapeId="52319" r:id="rId18" name="Check Box 95">
              <controlPr defaultSize="0" autoFill="0" autoLine="0" autoPict="0">
                <anchor moveWithCells="1">
                  <from>
                    <xdr:col>10</xdr:col>
                    <xdr:colOff>190500</xdr:colOff>
                    <xdr:row>18</xdr:row>
                    <xdr:rowOff>0</xdr:rowOff>
                  </from>
                  <to>
                    <xdr:col>10</xdr:col>
                    <xdr:colOff>409575</xdr:colOff>
                    <xdr:row>19</xdr:row>
                    <xdr:rowOff>9525</xdr:rowOff>
                  </to>
                </anchor>
              </controlPr>
            </control>
          </mc:Choice>
        </mc:AlternateContent>
        <mc:AlternateContent xmlns:mc="http://schemas.openxmlformats.org/markup-compatibility/2006">
          <mc:Choice Requires="x14">
            <control shapeId="52320" r:id="rId19" name="Check Box 96">
              <controlPr defaultSize="0" autoFill="0" autoLine="0" autoPict="0">
                <anchor moveWithCells="1">
                  <from>
                    <xdr:col>10</xdr:col>
                    <xdr:colOff>190500</xdr:colOff>
                    <xdr:row>18</xdr:row>
                    <xdr:rowOff>200025</xdr:rowOff>
                  </from>
                  <to>
                    <xdr:col>10</xdr:col>
                    <xdr:colOff>409575</xdr:colOff>
                    <xdr:row>20</xdr:row>
                    <xdr:rowOff>9525</xdr:rowOff>
                  </to>
                </anchor>
              </controlPr>
            </control>
          </mc:Choice>
        </mc:AlternateContent>
        <mc:AlternateContent xmlns:mc="http://schemas.openxmlformats.org/markup-compatibility/2006">
          <mc:Choice Requires="x14">
            <control shapeId="52321" r:id="rId20" name="Check Box 97">
              <controlPr defaultSize="0" autoFill="0" autoLine="0" autoPict="0">
                <anchor moveWithCells="1">
                  <from>
                    <xdr:col>10</xdr:col>
                    <xdr:colOff>190500</xdr:colOff>
                    <xdr:row>19</xdr:row>
                    <xdr:rowOff>190500</xdr:rowOff>
                  </from>
                  <to>
                    <xdr:col>10</xdr:col>
                    <xdr:colOff>409575</xdr:colOff>
                    <xdr:row>21</xdr:row>
                    <xdr:rowOff>0</xdr:rowOff>
                  </to>
                </anchor>
              </controlPr>
            </control>
          </mc:Choice>
        </mc:AlternateContent>
        <mc:AlternateContent xmlns:mc="http://schemas.openxmlformats.org/markup-compatibility/2006">
          <mc:Choice Requires="x14">
            <control shapeId="52322" r:id="rId21" name="Check Box 98">
              <controlPr defaultSize="0" autoFill="0" autoLine="0" autoPict="0">
                <anchor moveWithCells="1">
                  <from>
                    <xdr:col>10</xdr:col>
                    <xdr:colOff>190500</xdr:colOff>
                    <xdr:row>21</xdr:row>
                    <xdr:rowOff>0</xdr:rowOff>
                  </from>
                  <to>
                    <xdr:col>10</xdr:col>
                    <xdr:colOff>409575</xdr:colOff>
                    <xdr:row>22</xdr:row>
                    <xdr:rowOff>9525</xdr:rowOff>
                  </to>
                </anchor>
              </controlPr>
            </control>
          </mc:Choice>
        </mc:AlternateContent>
        <mc:AlternateContent xmlns:mc="http://schemas.openxmlformats.org/markup-compatibility/2006">
          <mc:Choice Requires="x14">
            <control shapeId="52323" r:id="rId22" name="Check Box 99">
              <controlPr defaultSize="0" autoFill="0" autoLine="0" autoPict="0">
                <anchor moveWithCells="1">
                  <from>
                    <xdr:col>10</xdr:col>
                    <xdr:colOff>190500</xdr:colOff>
                    <xdr:row>21</xdr:row>
                    <xdr:rowOff>190500</xdr:rowOff>
                  </from>
                  <to>
                    <xdr:col>10</xdr:col>
                    <xdr:colOff>409575</xdr:colOff>
                    <xdr:row>23</xdr:row>
                    <xdr:rowOff>0</xdr:rowOff>
                  </to>
                </anchor>
              </controlPr>
            </control>
          </mc:Choice>
        </mc:AlternateContent>
        <mc:AlternateContent xmlns:mc="http://schemas.openxmlformats.org/markup-compatibility/2006">
          <mc:Choice Requires="x14">
            <control shapeId="52324" r:id="rId23" name="Check Box 100">
              <controlPr defaultSize="0" autoFill="0" autoLine="0" autoPict="0">
                <anchor moveWithCells="1">
                  <from>
                    <xdr:col>10</xdr:col>
                    <xdr:colOff>190500</xdr:colOff>
                    <xdr:row>22</xdr:row>
                    <xdr:rowOff>190500</xdr:rowOff>
                  </from>
                  <to>
                    <xdr:col>10</xdr:col>
                    <xdr:colOff>409575</xdr:colOff>
                    <xdr:row>24</xdr:row>
                    <xdr:rowOff>0</xdr:rowOff>
                  </to>
                </anchor>
              </controlPr>
            </control>
          </mc:Choice>
        </mc:AlternateContent>
        <mc:AlternateContent xmlns:mc="http://schemas.openxmlformats.org/markup-compatibility/2006">
          <mc:Choice Requires="x14">
            <control shapeId="52325" r:id="rId24" name="Check Box 101">
              <controlPr defaultSize="0" autoFill="0" autoLine="0" autoPict="0">
                <anchor moveWithCells="1">
                  <from>
                    <xdr:col>10</xdr:col>
                    <xdr:colOff>190500</xdr:colOff>
                    <xdr:row>23</xdr:row>
                    <xdr:rowOff>190500</xdr:rowOff>
                  </from>
                  <to>
                    <xdr:col>10</xdr:col>
                    <xdr:colOff>409575</xdr:colOff>
                    <xdr:row>25</xdr:row>
                    <xdr:rowOff>0</xdr:rowOff>
                  </to>
                </anchor>
              </controlPr>
            </control>
          </mc:Choice>
        </mc:AlternateContent>
        <mc:AlternateContent xmlns:mc="http://schemas.openxmlformats.org/markup-compatibility/2006">
          <mc:Choice Requires="x14">
            <control shapeId="52326" r:id="rId25" name="Check Box 102">
              <controlPr defaultSize="0" autoFill="0" autoLine="0" autoPict="0">
                <anchor moveWithCells="1">
                  <from>
                    <xdr:col>10</xdr:col>
                    <xdr:colOff>190500</xdr:colOff>
                    <xdr:row>24</xdr:row>
                    <xdr:rowOff>190500</xdr:rowOff>
                  </from>
                  <to>
                    <xdr:col>10</xdr:col>
                    <xdr:colOff>409575</xdr:colOff>
                    <xdr:row>26</xdr:row>
                    <xdr:rowOff>0</xdr:rowOff>
                  </to>
                </anchor>
              </controlPr>
            </control>
          </mc:Choice>
        </mc:AlternateContent>
        <mc:AlternateContent xmlns:mc="http://schemas.openxmlformats.org/markup-compatibility/2006">
          <mc:Choice Requires="x14">
            <control shapeId="52227" r:id="rId26" name="LeftSide">
              <controlPr locked="0" defaultSize="0" autoFill="0" autoLine="0" autoPict="0" altText="Sides">
                <anchor moveWithCells="1" sizeWithCells="1">
                  <from>
                    <xdr:col>19</xdr:col>
                    <xdr:colOff>333375</xdr:colOff>
                    <xdr:row>6</xdr:row>
                    <xdr:rowOff>9525</xdr:rowOff>
                  </from>
                  <to>
                    <xdr:col>19</xdr:col>
                    <xdr:colOff>466725</xdr:colOff>
                    <xdr:row>6</xdr:row>
                    <xdr:rowOff>180975</xdr:rowOff>
                  </to>
                </anchor>
              </controlPr>
            </control>
          </mc:Choice>
        </mc:AlternateContent>
        <mc:AlternateContent xmlns:mc="http://schemas.openxmlformats.org/markup-compatibility/2006">
          <mc:Choice Requires="x14">
            <control shapeId="52228" r:id="rId27" name="RightSide">
              <controlPr defaultSize="0" autoFill="0" autoLine="0" autoPict="0" altText="Sides">
                <anchor moveWithCells="1" sizeWithCells="1">
                  <from>
                    <xdr:col>19</xdr:col>
                    <xdr:colOff>504825</xdr:colOff>
                    <xdr:row>6</xdr:row>
                    <xdr:rowOff>9525</xdr:rowOff>
                  </from>
                  <to>
                    <xdr:col>19</xdr:col>
                    <xdr:colOff>638175</xdr:colOff>
                    <xdr:row>6</xdr:row>
                    <xdr:rowOff>180975</xdr:rowOff>
                  </to>
                </anchor>
              </controlPr>
            </control>
          </mc:Choice>
        </mc:AlternateContent>
        <mc:AlternateContent xmlns:mc="http://schemas.openxmlformats.org/markup-compatibility/2006">
          <mc:Choice Requires="x14">
            <control shapeId="52229" r:id="rId28" name="TopSide">
              <controlPr defaultSize="0" autoFill="0" autoLine="0" autoPict="0" altText="Sides">
                <anchor moveWithCells="1" sizeWithCells="1">
                  <from>
                    <xdr:col>19</xdr:col>
                    <xdr:colOff>0</xdr:colOff>
                    <xdr:row>6</xdr:row>
                    <xdr:rowOff>9525</xdr:rowOff>
                  </from>
                  <to>
                    <xdr:col>19</xdr:col>
                    <xdr:colOff>133350</xdr:colOff>
                    <xdr:row>6</xdr:row>
                    <xdr:rowOff>180975</xdr:rowOff>
                  </to>
                </anchor>
              </controlPr>
            </control>
          </mc:Choice>
        </mc:AlternateContent>
        <mc:AlternateContent xmlns:mc="http://schemas.openxmlformats.org/markup-compatibility/2006">
          <mc:Choice Requires="x14">
            <control shapeId="52230" r:id="rId29" name="BottomSide">
              <controlPr defaultSize="0" autoFill="0" autoLine="0" autoPict="0" altText="Sides">
                <anchor moveWithCells="1" sizeWithCells="1">
                  <from>
                    <xdr:col>19</xdr:col>
                    <xdr:colOff>171450</xdr:colOff>
                    <xdr:row>6</xdr:row>
                    <xdr:rowOff>9525</xdr:rowOff>
                  </from>
                  <to>
                    <xdr:col>19</xdr:col>
                    <xdr:colOff>304800</xdr:colOff>
                    <xdr:row>6</xdr:row>
                    <xdr:rowOff>180975</xdr:rowOff>
                  </to>
                </anchor>
              </controlPr>
            </control>
          </mc:Choice>
        </mc:AlternateContent>
        <mc:AlternateContent xmlns:mc="http://schemas.openxmlformats.org/markup-compatibility/2006">
          <mc:Choice Requires="x14">
            <control shapeId="52231" r:id="rId30" name="LeftSide">
              <controlPr locked="0" defaultSize="0" autoFill="0" autoLine="0" autoPict="0" altText="Sides">
                <anchor moveWithCells="1" sizeWithCells="1">
                  <from>
                    <xdr:col>19</xdr:col>
                    <xdr:colOff>333375</xdr:colOff>
                    <xdr:row>7</xdr:row>
                    <xdr:rowOff>0</xdr:rowOff>
                  </from>
                  <to>
                    <xdr:col>19</xdr:col>
                    <xdr:colOff>466725</xdr:colOff>
                    <xdr:row>7</xdr:row>
                    <xdr:rowOff>171450</xdr:rowOff>
                  </to>
                </anchor>
              </controlPr>
            </control>
          </mc:Choice>
        </mc:AlternateContent>
        <mc:AlternateContent xmlns:mc="http://schemas.openxmlformats.org/markup-compatibility/2006">
          <mc:Choice Requires="x14">
            <control shapeId="52232" r:id="rId31" name="RightSide">
              <controlPr defaultSize="0" autoFill="0" autoLine="0" autoPict="0" altText="Sides">
                <anchor moveWithCells="1" sizeWithCells="1">
                  <from>
                    <xdr:col>19</xdr:col>
                    <xdr:colOff>495300</xdr:colOff>
                    <xdr:row>7</xdr:row>
                    <xdr:rowOff>0</xdr:rowOff>
                  </from>
                  <to>
                    <xdr:col>19</xdr:col>
                    <xdr:colOff>628650</xdr:colOff>
                    <xdr:row>7</xdr:row>
                    <xdr:rowOff>171450</xdr:rowOff>
                  </to>
                </anchor>
              </controlPr>
            </control>
          </mc:Choice>
        </mc:AlternateContent>
        <mc:AlternateContent xmlns:mc="http://schemas.openxmlformats.org/markup-compatibility/2006">
          <mc:Choice Requires="x14">
            <control shapeId="52233" r:id="rId32" name="TopSide">
              <controlPr defaultSize="0" autoFill="0" autoLine="0" autoPict="0" altText="Sides">
                <anchor moveWithCells="1" sizeWithCells="1">
                  <from>
                    <xdr:col>19</xdr:col>
                    <xdr:colOff>0</xdr:colOff>
                    <xdr:row>7</xdr:row>
                    <xdr:rowOff>0</xdr:rowOff>
                  </from>
                  <to>
                    <xdr:col>19</xdr:col>
                    <xdr:colOff>133350</xdr:colOff>
                    <xdr:row>7</xdr:row>
                    <xdr:rowOff>171450</xdr:rowOff>
                  </to>
                </anchor>
              </controlPr>
            </control>
          </mc:Choice>
        </mc:AlternateContent>
        <mc:AlternateContent xmlns:mc="http://schemas.openxmlformats.org/markup-compatibility/2006">
          <mc:Choice Requires="x14">
            <control shapeId="52234" r:id="rId33" name="BottomSide">
              <controlPr defaultSize="0" autoFill="0" autoLine="0" autoPict="0" altText="Sides">
                <anchor moveWithCells="1" sizeWithCells="1">
                  <from>
                    <xdr:col>19</xdr:col>
                    <xdr:colOff>161925</xdr:colOff>
                    <xdr:row>7</xdr:row>
                    <xdr:rowOff>0</xdr:rowOff>
                  </from>
                  <to>
                    <xdr:col>19</xdr:col>
                    <xdr:colOff>295275</xdr:colOff>
                    <xdr:row>7</xdr:row>
                    <xdr:rowOff>171450</xdr:rowOff>
                  </to>
                </anchor>
              </controlPr>
            </control>
          </mc:Choice>
        </mc:AlternateContent>
        <mc:AlternateContent xmlns:mc="http://schemas.openxmlformats.org/markup-compatibility/2006">
          <mc:Choice Requires="x14">
            <control shapeId="52235" r:id="rId34" name="LeftSide">
              <controlPr locked="0" defaultSize="0" autoFill="0" autoLine="0" autoPict="0" altText="Sides">
                <anchor moveWithCells="1" sizeWithCells="1">
                  <from>
                    <xdr:col>19</xdr:col>
                    <xdr:colOff>333375</xdr:colOff>
                    <xdr:row>8</xdr:row>
                    <xdr:rowOff>9525</xdr:rowOff>
                  </from>
                  <to>
                    <xdr:col>19</xdr:col>
                    <xdr:colOff>466725</xdr:colOff>
                    <xdr:row>8</xdr:row>
                    <xdr:rowOff>171450</xdr:rowOff>
                  </to>
                </anchor>
              </controlPr>
            </control>
          </mc:Choice>
        </mc:AlternateContent>
        <mc:AlternateContent xmlns:mc="http://schemas.openxmlformats.org/markup-compatibility/2006">
          <mc:Choice Requires="x14">
            <control shapeId="52236" r:id="rId35" name="RightSide">
              <controlPr defaultSize="0" autoFill="0" autoLine="0" autoPict="0" altText="Sides">
                <anchor moveWithCells="1" sizeWithCells="1">
                  <from>
                    <xdr:col>19</xdr:col>
                    <xdr:colOff>495300</xdr:colOff>
                    <xdr:row>8</xdr:row>
                    <xdr:rowOff>9525</xdr:rowOff>
                  </from>
                  <to>
                    <xdr:col>19</xdr:col>
                    <xdr:colOff>628650</xdr:colOff>
                    <xdr:row>8</xdr:row>
                    <xdr:rowOff>171450</xdr:rowOff>
                  </to>
                </anchor>
              </controlPr>
            </control>
          </mc:Choice>
        </mc:AlternateContent>
        <mc:AlternateContent xmlns:mc="http://schemas.openxmlformats.org/markup-compatibility/2006">
          <mc:Choice Requires="x14">
            <control shapeId="52237" r:id="rId36" name="TopSide">
              <controlPr defaultSize="0" autoFill="0" autoLine="0" autoPict="0" altText="Sides">
                <anchor moveWithCells="1" sizeWithCells="1">
                  <from>
                    <xdr:col>19</xdr:col>
                    <xdr:colOff>0</xdr:colOff>
                    <xdr:row>8</xdr:row>
                    <xdr:rowOff>9525</xdr:rowOff>
                  </from>
                  <to>
                    <xdr:col>19</xdr:col>
                    <xdr:colOff>133350</xdr:colOff>
                    <xdr:row>8</xdr:row>
                    <xdr:rowOff>171450</xdr:rowOff>
                  </to>
                </anchor>
              </controlPr>
            </control>
          </mc:Choice>
        </mc:AlternateContent>
        <mc:AlternateContent xmlns:mc="http://schemas.openxmlformats.org/markup-compatibility/2006">
          <mc:Choice Requires="x14">
            <control shapeId="52238" r:id="rId37" name="BottomSide">
              <controlPr defaultSize="0" autoFill="0" autoLine="0" autoPict="0" altText="Sides">
                <anchor moveWithCells="1" sizeWithCells="1">
                  <from>
                    <xdr:col>19</xdr:col>
                    <xdr:colOff>161925</xdr:colOff>
                    <xdr:row>8</xdr:row>
                    <xdr:rowOff>9525</xdr:rowOff>
                  </from>
                  <to>
                    <xdr:col>19</xdr:col>
                    <xdr:colOff>295275</xdr:colOff>
                    <xdr:row>8</xdr:row>
                    <xdr:rowOff>171450</xdr:rowOff>
                  </to>
                </anchor>
              </controlPr>
            </control>
          </mc:Choice>
        </mc:AlternateContent>
        <mc:AlternateContent xmlns:mc="http://schemas.openxmlformats.org/markup-compatibility/2006">
          <mc:Choice Requires="x14">
            <control shapeId="52239" r:id="rId38" name="LeftSide">
              <controlPr locked="0" defaultSize="0" autoFill="0" autoLine="0" autoPict="0" altText="Sides">
                <anchor moveWithCells="1" sizeWithCells="1">
                  <from>
                    <xdr:col>19</xdr:col>
                    <xdr:colOff>333375</xdr:colOff>
                    <xdr:row>9</xdr:row>
                    <xdr:rowOff>9525</xdr:rowOff>
                  </from>
                  <to>
                    <xdr:col>19</xdr:col>
                    <xdr:colOff>466725</xdr:colOff>
                    <xdr:row>9</xdr:row>
                    <xdr:rowOff>171450</xdr:rowOff>
                  </to>
                </anchor>
              </controlPr>
            </control>
          </mc:Choice>
        </mc:AlternateContent>
        <mc:AlternateContent xmlns:mc="http://schemas.openxmlformats.org/markup-compatibility/2006">
          <mc:Choice Requires="x14">
            <control shapeId="52240" r:id="rId39" name="RightSide">
              <controlPr defaultSize="0" autoFill="0" autoLine="0" autoPict="0" altText="Sides">
                <anchor moveWithCells="1" sizeWithCells="1">
                  <from>
                    <xdr:col>19</xdr:col>
                    <xdr:colOff>495300</xdr:colOff>
                    <xdr:row>9</xdr:row>
                    <xdr:rowOff>9525</xdr:rowOff>
                  </from>
                  <to>
                    <xdr:col>19</xdr:col>
                    <xdr:colOff>628650</xdr:colOff>
                    <xdr:row>9</xdr:row>
                    <xdr:rowOff>171450</xdr:rowOff>
                  </to>
                </anchor>
              </controlPr>
            </control>
          </mc:Choice>
        </mc:AlternateContent>
        <mc:AlternateContent xmlns:mc="http://schemas.openxmlformats.org/markup-compatibility/2006">
          <mc:Choice Requires="x14">
            <control shapeId="52241" r:id="rId40" name="TopSide">
              <controlPr defaultSize="0" autoFill="0" autoLine="0" autoPict="0" altText="Sides">
                <anchor moveWithCells="1" sizeWithCells="1">
                  <from>
                    <xdr:col>19</xdr:col>
                    <xdr:colOff>0</xdr:colOff>
                    <xdr:row>9</xdr:row>
                    <xdr:rowOff>9525</xdr:rowOff>
                  </from>
                  <to>
                    <xdr:col>19</xdr:col>
                    <xdr:colOff>133350</xdr:colOff>
                    <xdr:row>9</xdr:row>
                    <xdr:rowOff>171450</xdr:rowOff>
                  </to>
                </anchor>
              </controlPr>
            </control>
          </mc:Choice>
        </mc:AlternateContent>
        <mc:AlternateContent xmlns:mc="http://schemas.openxmlformats.org/markup-compatibility/2006">
          <mc:Choice Requires="x14">
            <control shapeId="52242" r:id="rId41" name="BottomSide">
              <controlPr defaultSize="0" autoFill="0" autoLine="0" autoPict="0" altText="Sides">
                <anchor moveWithCells="1" sizeWithCells="1">
                  <from>
                    <xdr:col>19</xdr:col>
                    <xdr:colOff>161925</xdr:colOff>
                    <xdr:row>9</xdr:row>
                    <xdr:rowOff>9525</xdr:rowOff>
                  </from>
                  <to>
                    <xdr:col>19</xdr:col>
                    <xdr:colOff>295275</xdr:colOff>
                    <xdr:row>9</xdr:row>
                    <xdr:rowOff>171450</xdr:rowOff>
                  </to>
                </anchor>
              </controlPr>
            </control>
          </mc:Choice>
        </mc:AlternateContent>
        <mc:AlternateContent xmlns:mc="http://schemas.openxmlformats.org/markup-compatibility/2006">
          <mc:Choice Requires="x14">
            <control shapeId="52243" r:id="rId42" name="LeftSide">
              <controlPr locked="0" defaultSize="0" autoFill="0" autoLine="0" autoPict="0" altText="Sides">
                <anchor moveWithCells="1" sizeWithCells="1">
                  <from>
                    <xdr:col>19</xdr:col>
                    <xdr:colOff>333375</xdr:colOff>
                    <xdr:row>10</xdr:row>
                    <xdr:rowOff>9525</xdr:rowOff>
                  </from>
                  <to>
                    <xdr:col>19</xdr:col>
                    <xdr:colOff>466725</xdr:colOff>
                    <xdr:row>10</xdr:row>
                    <xdr:rowOff>180975</xdr:rowOff>
                  </to>
                </anchor>
              </controlPr>
            </control>
          </mc:Choice>
        </mc:AlternateContent>
        <mc:AlternateContent xmlns:mc="http://schemas.openxmlformats.org/markup-compatibility/2006">
          <mc:Choice Requires="x14">
            <control shapeId="52244" r:id="rId43" name="RightSide">
              <controlPr defaultSize="0" autoFill="0" autoLine="0" autoPict="0" altText="Sides">
                <anchor moveWithCells="1" sizeWithCells="1">
                  <from>
                    <xdr:col>19</xdr:col>
                    <xdr:colOff>495300</xdr:colOff>
                    <xdr:row>10</xdr:row>
                    <xdr:rowOff>9525</xdr:rowOff>
                  </from>
                  <to>
                    <xdr:col>19</xdr:col>
                    <xdr:colOff>628650</xdr:colOff>
                    <xdr:row>10</xdr:row>
                    <xdr:rowOff>180975</xdr:rowOff>
                  </to>
                </anchor>
              </controlPr>
            </control>
          </mc:Choice>
        </mc:AlternateContent>
        <mc:AlternateContent xmlns:mc="http://schemas.openxmlformats.org/markup-compatibility/2006">
          <mc:Choice Requires="x14">
            <control shapeId="52245" r:id="rId44" name="TopSide">
              <controlPr defaultSize="0" autoFill="0" autoLine="0" autoPict="0" altText="Sides">
                <anchor moveWithCells="1" sizeWithCells="1">
                  <from>
                    <xdr:col>19</xdr:col>
                    <xdr:colOff>0</xdr:colOff>
                    <xdr:row>10</xdr:row>
                    <xdr:rowOff>9525</xdr:rowOff>
                  </from>
                  <to>
                    <xdr:col>19</xdr:col>
                    <xdr:colOff>133350</xdr:colOff>
                    <xdr:row>10</xdr:row>
                    <xdr:rowOff>180975</xdr:rowOff>
                  </to>
                </anchor>
              </controlPr>
            </control>
          </mc:Choice>
        </mc:AlternateContent>
        <mc:AlternateContent xmlns:mc="http://schemas.openxmlformats.org/markup-compatibility/2006">
          <mc:Choice Requires="x14">
            <control shapeId="52246" r:id="rId45" name="BottomSide">
              <controlPr defaultSize="0" autoFill="0" autoLine="0" autoPict="0" altText="Sides">
                <anchor moveWithCells="1" sizeWithCells="1">
                  <from>
                    <xdr:col>19</xdr:col>
                    <xdr:colOff>161925</xdr:colOff>
                    <xdr:row>10</xdr:row>
                    <xdr:rowOff>9525</xdr:rowOff>
                  </from>
                  <to>
                    <xdr:col>19</xdr:col>
                    <xdr:colOff>295275</xdr:colOff>
                    <xdr:row>10</xdr:row>
                    <xdr:rowOff>180975</xdr:rowOff>
                  </to>
                </anchor>
              </controlPr>
            </control>
          </mc:Choice>
        </mc:AlternateContent>
        <mc:AlternateContent xmlns:mc="http://schemas.openxmlformats.org/markup-compatibility/2006">
          <mc:Choice Requires="x14">
            <control shapeId="52247" r:id="rId46" name="LeftSide">
              <controlPr locked="0" defaultSize="0" autoFill="0" autoLine="0" autoPict="0" altText="Sides">
                <anchor moveWithCells="1" sizeWithCells="1">
                  <from>
                    <xdr:col>19</xdr:col>
                    <xdr:colOff>333375</xdr:colOff>
                    <xdr:row>11</xdr:row>
                    <xdr:rowOff>9525</xdr:rowOff>
                  </from>
                  <to>
                    <xdr:col>19</xdr:col>
                    <xdr:colOff>466725</xdr:colOff>
                    <xdr:row>11</xdr:row>
                    <xdr:rowOff>180975</xdr:rowOff>
                  </to>
                </anchor>
              </controlPr>
            </control>
          </mc:Choice>
        </mc:AlternateContent>
        <mc:AlternateContent xmlns:mc="http://schemas.openxmlformats.org/markup-compatibility/2006">
          <mc:Choice Requires="x14">
            <control shapeId="52248" r:id="rId47" name="RightSide">
              <controlPr defaultSize="0" autoFill="0" autoLine="0" autoPict="0" altText="Sides">
                <anchor moveWithCells="1" sizeWithCells="1">
                  <from>
                    <xdr:col>19</xdr:col>
                    <xdr:colOff>495300</xdr:colOff>
                    <xdr:row>11</xdr:row>
                    <xdr:rowOff>9525</xdr:rowOff>
                  </from>
                  <to>
                    <xdr:col>19</xdr:col>
                    <xdr:colOff>628650</xdr:colOff>
                    <xdr:row>11</xdr:row>
                    <xdr:rowOff>180975</xdr:rowOff>
                  </to>
                </anchor>
              </controlPr>
            </control>
          </mc:Choice>
        </mc:AlternateContent>
        <mc:AlternateContent xmlns:mc="http://schemas.openxmlformats.org/markup-compatibility/2006">
          <mc:Choice Requires="x14">
            <control shapeId="52249" r:id="rId48" name="TopSide">
              <controlPr defaultSize="0" autoFill="0" autoLine="0" autoPict="0" altText="Sides">
                <anchor moveWithCells="1" sizeWithCells="1">
                  <from>
                    <xdr:col>19</xdr:col>
                    <xdr:colOff>0</xdr:colOff>
                    <xdr:row>11</xdr:row>
                    <xdr:rowOff>9525</xdr:rowOff>
                  </from>
                  <to>
                    <xdr:col>19</xdr:col>
                    <xdr:colOff>133350</xdr:colOff>
                    <xdr:row>11</xdr:row>
                    <xdr:rowOff>180975</xdr:rowOff>
                  </to>
                </anchor>
              </controlPr>
            </control>
          </mc:Choice>
        </mc:AlternateContent>
        <mc:AlternateContent xmlns:mc="http://schemas.openxmlformats.org/markup-compatibility/2006">
          <mc:Choice Requires="x14">
            <control shapeId="52250" r:id="rId49" name="BottomSide">
              <controlPr defaultSize="0" autoFill="0" autoLine="0" autoPict="0" altText="Sides">
                <anchor moveWithCells="1" sizeWithCells="1">
                  <from>
                    <xdr:col>19</xdr:col>
                    <xdr:colOff>161925</xdr:colOff>
                    <xdr:row>11</xdr:row>
                    <xdr:rowOff>9525</xdr:rowOff>
                  </from>
                  <to>
                    <xdr:col>19</xdr:col>
                    <xdr:colOff>295275</xdr:colOff>
                    <xdr:row>11</xdr:row>
                    <xdr:rowOff>180975</xdr:rowOff>
                  </to>
                </anchor>
              </controlPr>
            </control>
          </mc:Choice>
        </mc:AlternateContent>
        <mc:AlternateContent xmlns:mc="http://schemas.openxmlformats.org/markup-compatibility/2006">
          <mc:Choice Requires="x14">
            <control shapeId="52251" r:id="rId50" name="LeftSide">
              <controlPr locked="0" defaultSize="0" autoFill="0" autoLine="0" autoPict="0" altText="Sides">
                <anchor moveWithCells="1" sizeWithCells="1">
                  <from>
                    <xdr:col>19</xdr:col>
                    <xdr:colOff>333375</xdr:colOff>
                    <xdr:row>12</xdr:row>
                    <xdr:rowOff>9525</xdr:rowOff>
                  </from>
                  <to>
                    <xdr:col>19</xdr:col>
                    <xdr:colOff>466725</xdr:colOff>
                    <xdr:row>12</xdr:row>
                    <xdr:rowOff>180975</xdr:rowOff>
                  </to>
                </anchor>
              </controlPr>
            </control>
          </mc:Choice>
        </mc:AlternateContent>
        <mc:AlternateContent xmlns:mc="http://schemas.openxmlformats.org/markup-compatibility/2006">
          <mc:Choice Requires="x14">
            <control shapeId="52252" r:id="rId51" name="RightSide">
              <controlPr defaultSize="0" autoFill="0" autoLine="0" autoPict="0" altText="Sides">
                <anchor moveWithCells="1" sizeWithCells="1">
                  <from>
                    <xdr:col>19</xdr:col>
                    <xdr:colOff>495300</xdr:colOff>
                    <xdr:row>12</xdr:row>
                    <xdr:rowOff>9525</xdr:rowOff>
                  </from>
                  <to>
                    <xdr:col>19</xdr:col>
                    <xdr:colOff>628650</xdr:colOff>
                    <xdr:row>12</xdr:row>
                    <xdr:rowOff>180975</xdr:rowOff>
                  </to>
                </anchor>
              </controlPr>
            </control>
          </mc:Choice>
        </mc:AlternateContent>
        <mc:AlternateContent xmlns:mc="http://schemas.openxmlformats.org/markup-compatibility/2006">
          <mc:Choice Requires="x14">
            <control shapeId="52253" r:id="rId52" name="TopSide">
              <controlPr defaultSize="0" autoFill="0" autoLine="0" autoPict="0" altText="Sides">
                <anchor moveWithCells="1" sizeWithCells="1">
                  <from>
                    <xdr:col>19</xdr:col>
                    <xdr:colOff>0</xdr:colOff>
                    <xdr:row>12</xdr:row>
                    <xdr:rowOff>9525</xdr:rowOff>
                  </from>
                  <to>
                    <xdr:col>19</xdr:col>
                    <xdr:colOff>133350</xdr:colOff>
                    <xdr:row>12</xdr:row>
                    <xdr:rowOff>180975</xdr:rowOff>
                  </to>
                </anchor>
              </controlPr>
            </control>
          </mc:Choice>
        </mc:AlternateContent>
        <mc:AlternateContent xmlns:mc="http://schemas.openxmlformats.org/markup-compatibility/2006">
          <mc:Choice Requires="x14">
            <control shapeId="52254" r:id="rId53" name="BottomSide">
              <controlPr defaultSize="0" autoFill="0" autoLine="0" autoPict="0" altText="Sides">
                <anchor moveWithCells="1" sizeWithCells="1">
                  <from>
                    <xdr:col>19</xdr:col>
                    <xdr:colOff>161925</xdr:colOff>
                    <xdr:row>12</xdr:row>
                    <xdr:rowOff>9525</xdr:rowOff>
                  </from>
                  <to>
                    <xdr:col>19</xdr:col>
                    <xdr:colOff>295275</xdr:colOff>
                    <xdr:row>12</xdr:row>
                    <xdr:rowOff>180975</xdr:rowOff>
                  </to>
                </anchor>
              </controlPr>
            </control>
          </mc:Choice>
        </mc:AlternateContent>
        <mc:AlternateContent xmlns:mc="http://schemas.openxmlformats.org/markup-compatibility/2006">
          <mc:Choice Requires="x14">
            <control shapeId="52255" r:id="rId54" name="LeftSide">
              <controlPr locked="0" defaultSize="0" autoFill="0" autoLine="0" autoPict="0" altText="Sides">
                <anchor moveWithCells="1" sizeWithCells="1">
                  <from>
                    <xdr:col>19</xdr:col>
                    <xdr:colOff>333375</xdr:colOff>
                    <xdr:row>13</xdr:row>
                    <xdr:rowOff>9525</xdr:rowOff>
                  </from>
                  <to>
                    <xdr:col>19</xdr:col>
                    <xdr:colOff>466725</xdr:colOff>
                    <xdr:row>13</xdr:row>
                    <xdr:rowOff>180975</xdr:rowOff>
                  </to>
                </anchor>
              </controlPr>
            </control>
          </mc:Choice>
        </mc:AlternateContent>
        <mc:AlternateContent xmlns:mc="http://schemas.openxmlformats.org/markup-compatibility/2006">
          <mc:Choice Requires="x14">
            <control shapeId="52256" r:id="rId55" name="RightSide">
              <controlPr defaultSize="0" autoFill="0" autoLine="0" autoPict="0" altText="Sides">
                <anchor moveWithCells="1" sizeWithCells="1">
                  <from>
                    <xdr:col>19</xdr:col>
                    <xdr:colOff>495300</xdr:colOff>
                    <xdr:row>13</xdr:row>
                    <xdr:rowOff>9525</xdr:rowOff>
                  </from>
                  <to>
                    <xdr:col>19</xdr:col>
                    <xdr:colOff>628650</xdr:colOff>
                    <xdr:row>13</xdr:row>
                    <xdr:rowOff>180975</xdr:rowOff>
                  </to>
                </anchor>
              </controlPr>
            </control>
          </mc:Choice>
        </mc:AlternateContent>
        <mc:AlternateContent xmlns:mc="http://schemas.openxmlformats.org/markup-compatibility/2006">
          <mc:Choice Requires="x14">
            <control shapeId="52257" r:id="rId56" name="TopSide">
              <controlPr defaultSize="0" autoFill="0" autoLine="0" autoPict="0" altText="Sides">
                <anchor moveWithCells="1" sizeWithCells="1">
                  <from>
                    <xdr:col>19</xdr:col>
                    <xdr:colOff>0</xdr:colOff>
                    <xdr:row>13</xdr:row>
                    <xdr:rowOff>9525</xdr:rowOff>
                  </from>
                  <to>
                    <xdr:col>19</xdr:col>
                    <xdr:colOff>133350</xdr:colOff>
                    <xdr:row>13</xdr:row>
                    <xdr:rowOff>180975</xdr:rowOff>
                  </to>
                </anchor>
              </controlPr>
            </control>
          </mc:Choice>
        </mc:AlternateContent>
        <mc:AlternateContent xmlns:mc="http://schemas.openxmlformats.org/markup-compatibility/2006">
          <mc:Choice Requires="x14">
            <control shapeId="52258" r:id="rId57" name="BottomSide">
              <controlPr defaultSize="0" autoFill="0" autoLine="0" autoPict="0" altText="Sides">
                <anchor moveWithCells="1" sizeWithCells="1">
                  <from>
                    <xdr:col>19</xdr:col>
                    <xdr:colOff>161925</xdr:colOff>
                    <xdr:row>13</xdr:row>
                    <xdr:rowOff>9525</xdr:rowOff>
                  </from>
                  <to>
                    <xdr:col>19</xdr:col>
                    <xdr:colOff>295275</xdr:colOff>
                    <xdr:row>13</xdr:row>
                    <xdr:rowOff>180975</xdr:rowOff>
                  </to>
                </anchor>
              </controlPr>
            </control>
          </mc:Choice>
        </mc:AlternateContent>
        <mc:AlternateContent xmlns:mc="http://schemas.openxmlformats.org/markup-compatibility/2006">
          <mc:Choice Requires="x14">
            <control shapeId="52259" r:id="rId58" name="LeftSide">
              <controlPr locked="0" defaultSize="0" autoFill="0" autoLine="0" autoPict="0" altText="Sides">
                <anchor moveWithCells="1" sizeWithCells="1">
                  <from>
                    <xdr:col>19</xdr:col>
                    <xdr:colOff>333375</xdr:colOff>
                    <xdr:row>14</xdr:row>
                    <xdr:rowOff>9525</xdr:rowOff>
                  </from>
                  <to>
                    <xdr:col>19</xdr:col>
                    <xdr:colOff>466725</xdr:colOff>
                    <xdr:row>14</xdr:row>
                    <xdr:rowOff>180975</xdr:rowOff>
                  </to>
                </anchor>
              </controlPr>
            </control>
          </mc:Choice>
        </mc:AlternateContent>
        <mc:AlternateContent xmlns:mc="http://schemas.openxmlformats.org/markup-compatibility/2006">
          <mc:Choice Requires="x14">
            <control shapeId="52260" r:id="rId59" name="RightSide">
              <controlPr defaultSize="0" autoFill="0" autoLine="0" autoPict="0" altText="Sides">
                <anchor moveWithCells="1" sizeWithCells="1">
                  <from>
                    <xdr:col>19</xdr:col>
                    <xdr:colOff>495300</xdr:colOff>
                    <xdr:row>14</xdr:row>
                    <xdr:rowOff>9525</xdr:rowOff>
                  </from>
                  <to>
                    <xdr:col>19</xdr:col>
                    <xdr:colOff>628650</xdr:colOff>
                    <xdr:row>14</xdr:row>
                    <xdr:rowOff>180975</xdr:rowOff>
                  </to>
                </anchor>
              </controlPr>
            </control>
          </mc:Choice>
        </mc:AlternateContent>
        <mc:AlternateContent xmlns:mc="http://schemas.openxmlformats.org/markup-compatibility/2006">
          <mc:Choice Requires="x14">
            <control shapeId="52261" r:id="rId60" name="TopSide">
              <controlPr defaultSize="0" autoFill="0" autoLine="0" autoPict="0" altText="Sides">
                <anchor moveWithCells="1" sizeWithCells="1">
                  <from>
                    <xdr:col>19</xdr:col>
                    <xdr:colOff>0</xdr:colOff>
                    <xdr:row>14</xdr:row>
                    <xdr:rowOff>9525</xdr:rowOff>
                  </from>
                  <to>
                    <xdr:col>19</xdr:col>
                    <xdr:colOff>133350</xdr:colOff>
                    <xdr:row>14</xdr:row>
                    <xdr:rowOff>180975</xdr:rowOff>
                  </to>
                </anchor>
              </controlPr>
            </control>
          </mc:Choice>
        </mc:AlternateContent>
        <mc:AlternateContent xmlns:mc="http://schemas.openxmlformats.org/markup-compatibility/2006">
          <mc:Choice Requires="x14">
            <control shapeId="52262" r:id="rId61" name="BottomSide">
              <controlPr defaultSize="0" autoFill="0" autoLine="0" autoPict="0" altText="Sides">
                <anchor moveWithCells="1" sizeWithCells="1">
                  <from>
                    <xdr:col>19</xdr:col>
                    <xdr:colOff>161925</xdr:colOff>
                    <xdr:row>14</xdr:row>
                    <xdr:rowOff>9525</xdr:rowOff>
                  </from>
                  <to>
                    <xdr:col>19</xdr:col>
                    <xdr:colOff>295275</xdr:colOff>
                    <xdr:row>14</xdr:row>
                    <xdr:rowOff>180975</xdr:rowOff>
                  </to>
                </anchor>
              </controlPr>
            </control>
          </mc:Choice>
        </mc:AlternateContent>
        <mc:AlternateContent xmlns:mc="http://schemas.openxmlformats.org/markup-compatibility/2006">
          <mc:Choice Requires="x14">
            <control shapeId="52263" r:id="rId62" name="LeftSide">
              <controlPr locked="0" defaultSize="0" autoFill="0" autoLine="0" autoPict="0" altText="Sides">
                <anchor moveWithCells="1" sizeWithCells="1">
                  <from>
                    <xdr:col>19</xdr:col>
                    <xdr:colOff>333375</xdr:colOff>
                    <xdr:row>15</xdr:row>
                    <xdr:rowOff>19050</xdr:rowOff>
                  </from>
                  <to>
                    <xdr:col>19</xdr:col>
                    <xdr:colOff>466725</xdr:colOff>
                    <xdr:row>15</xdr:row>
                    <xdr:rowOff>180975</xdr:rowOff>
                  </to>
                </anchor>
              </controlPr>
            </control>
          </mc:Choice>
        </mc:AlternateContent>
        <mc:AlternateContent xmlns:mc="http://schemas.openxmlformats.org/markup-compatibility/2006">
          <mc:Choice Requires="x14">
            <control shapeId="52264" r:id="rId63" name="RightSide">
              <controlPr defaultSize="0" autoFill="0" autoLine="0" autoPict="0" altText="Sides">
                <anchor moveWithCells="1" sizeWithCells="1">
                  <from>
                    <xdr:col>19</xdr:col>
                    <xdr:colOff>495300</xdr:colOff>
                    <xdr:row>15</xdr:row>
                    <xdr:rowOff>19050</xdr:rowOff>
                  </from>
                  <to>
                    <xdr:col>19</xdr:col>
                    <xdr:colOff>628650</xdr:colOff>
                    <xdr:row>15</xdr:row>
                    <xdr:rowOff>180975</xdr:rowOff>
                  </to>
                </anchor>
              </controlPr>
            </control>
          </mc:Choice>
        </mc:AlternateContent>
        <mc:AlternateContent xmlns:mc="http://schemas.openxmlformats.org/markup-compatibility/2006">
          <mc:Choice Requires="x14">
            <control shapeId="52265" r:id="rId64" name="TopSide">
              <controlPr defaultSize="0" autoFill="0" autoLine="0" autoPict="0" altText="Sides">
                <anchor moveWithCells="1" sizeWithCells="1">
                  <from>
                    <xdr:col>19</xdr:col>
                    <xdr:colOff>0</xdr:colOff>
                    <xdr:row>15</xdr:row>
                    <xdr:rowOff>19050</xdr:rowOff>
                  </from>
                  <to>
                    <xdr:col>19</xdr:col>
                    <xdr:colOff>133350</xdr:colOff>
                    <xdr:row>15</xdr:row>
                    <xdr:rowOff>180975</xdr:rowOff>
                  </to>
                </anchor>
              </controlPr>
            </control>
          </mc:Choice>
        </mc:AlternateContent>
        <mc:AlternateContent xmlns:mc="http://schemas.openxmlformats.org/markup-compatibility/2006">
          <mc:Choice Requires="x14">
            <control shapeId="52266" r:id="rId65" name="BottomSide">
              <controlPr defaultSize="0" autoFill="0" autoLine="0" autoPict="0" altText="Sides">
                <anchor moveWithCells="1" sizeWithCells="1">
                  <from>
                    <xdr:col>19</xdr:col>
                    <xdr:colOff>161925</xdr:colOff>
                    <xdr:row>15</xdr:row>
                    <xdr:rowOff>19050</xdr:rowOff>
                  </from>
                  <to>
                    <xdr:col>19</xdr:col>
                    <xdr:colOff>295275</xdr:colOff>
                    <xdr:row>15</xdr:row>
                    <xdr:rowOff>180975</xdr:rowOff>
                  </to>
                </anchor>
              </controlPr>
            </control>
          </mc:Choice>
        </mc:AlternateContent>
        <mc:AlternateContent xmlns:mc="http://schemas.openxmlformats.org/markup-compatibility/2006">
          <mc:Choice Requires="x14">
            <control shapeId="52267" r:id="rId66" name="LeftSide">
              <controlPr locked="0" defaultSize="0" autoFill="0" autoLine="0" autoPict="0" altText="Sides">
                <anchor moveWithCells="1" sizeWithCells="1">
                  <from>
                    <xdr:col>19</xdr:col>
                    <xdr:colOff>333375</xdr:colOff>
                    <xdr:row>16</xdr:row>
                    <xdr:rowOff>19050</xdr:rowOff>
                  </from>
                  <to>
                    <xdr:col>19</xdr:col>
                    <xdr:colOff>466725</xdr:colOff>
                    <xdr:row>16</xdr:row>
                    <xdr:rowOff>180975</xdr:rowOff>
                  </to>
                </anchor>
              </controlPr>
            </control>
          </mc:Choice>
        </mc:AlternateContent>
        <mc:AlternateContent xmlns:mc="http://schemas.openxmlformats.org/markup-compatibility/2006">
          <mc:Choice Requires="x14">
            <control shapeId="52268" r:id="rId67" name="RightSide">
              <controlPr defaultSize="0" autoFill="0" autoLine="0" autoPict="0" altText="Sides">
                <anchor moveWithCells="1" sizeWithCells="1">
                  <from>
                    <xdr:col>19</xdr:col>
                    <xdr:colOff>495300</xdr:colOff>
                    <xdr:row>16</xdr:row>
                    <xdr:rowOff>19050</xdr:rowOff>
                  </from>
                  <to>
                    <xdr:col>19</xdr:col>
                    <xdr:colOff>628650</xdr:colOff>
                    <xdr:row>16</xdr:row>
                    <xdr:rowOff>180975</xdr:rowOff>
                  </to>
                </anchor>
              </controlPr>
            </control>
          </mc:Choice>
        </mc:AlternateContent>
        <mc:AlternateContent xmlns:mc="http://schemas.openxmlformats.org/markup-compatibility/2006">
          <mc:Choice Requires="x14">
            <control shapeId="52269" r:id="rId68" name="TopSide">
              <controlPr defaultSize="0" autoFill="0" autoLine="0" autoPict="0" altText="Sides">
                <anchor moveWithCells="1" sizeWithCells="1">
                  <from>
                    <xdr:col>19</xdr:col>
                    <xdr:colOff>0</xdr:colOff>
                    <xdr:row>16</xdr:row>
                    <xdr:rowOff>19050</xdr:rowOff>
                  </from>
                  <to>
                    <xdr:col>19</xdr:col>
                    <xdr:colOff>133350</xdr:colOff>
                    <xdr:row>16</xdr:row>
                    <xdr:rowOff>180975</xdr:rowOff>
                  </to>
                </anchor>
              </controlPr>
            </control>
          </mc:Choice>
        </mc:AlternateContent>
        <mc:AlternateContent xmlns:mc="http://schemas.openxmlformats.org/markup-compatibility/2006">
          <mc:Choice Requires="x14">
            <control shapeId="52270" r:id="rId69" name="BottomSide">
              <controlPr defaultSize="0" autoFill="0" autoLine="0" autoPict="0" altText="Sides">
                <anchor moveWithCells="1" sizeWithCells="1">
                  <from>
                    <xdr:col>19</xdr:col>
                    <xdr:colOff>161925</xdr:colOff>
                    <xdr:row>16</xdr:row>
                    <xdr:rowOff>19050</xdr:rowOff>
                  </from>
                  <to>
                    <xdr:col>19</xdr:col>
                    <xdr:colOff>295275</xdr:colOff>
                    <xdr:row>16</xdr:row>
                    <xdr:rowOff>180975</xdr:rowOff>
                  </to>
                </anchor>
              </controlPr>
            </control>
          </mc:Choice>
        </mc:AlternateContent>
        <mc:AlternateContent xmlns:mc="http://schemas.openxmlformats.org/markup-compatibility/2006">
          <mc:Choice Requires="x14">
            <control shapeId="52271" r:id="rId70" name="LeftSide">
              <controlPr locked="0" defaultSize="0" autoFill="0" autoLine="0" autoPict="0" altText="Sides">
                <anchor moveWithCells="1" sizeWithCells="1">
                  <from>
                    <xdr:col>19</xdr:col>
                    <xdr:colOff>333375</xdr:colOff>
                    <xdr:row>17</xdr:row>
                    <xdr:rowOff>19050</xdr:rowOff>
                  </from>
                  <to>
                    <xdr:col>19</xdr:col>
                    <xdr:colOff>466725</xdr:colOff>
                    <xdr:row>17</xdr:row>
                    <xdr:rowOff>190500</xdr:rowOff>
                  </to>
                </anchor>
              </controlPr>
            </control>
          </mc:Choice>
        </mc:AlternateContent>
        <mc:AlternateContent xmlns:mc="http://schemas.openxmlformats.org/markup-compatibility/2006">
          <mc:Choice Requires="x14">
            <control shapeId="52272" r:id="rId71" name="RightSide">
              <controlPr defaultSize="0" autoFill="0" autoLine="0" autoPict="0" altText="Sides">
                <anchor moveWithCells="1" sizeWithCells="1">
                  <from>
                    <xdr:col>19</xdr:col>
                    <xdr:colOff>495300</xdr:colOff>
                    <xdr:row>17</xdr:row>
                    <xdr:rowOff>19050</xdr:rowOff>
                  </from>
                  <to>
                    <xdr:col>19</xdr:col>
                    <xdr:colOff>628650</xdr:colOff>
                    <xdr:row>17</xdr:row>
                    <xdr:rowOff>190500</xdr:rowOff>
                  </to>
                </anchor>
              </controlPr>
            </control>
          </mc:Choice>
        </mc:AlternateContent>
        <mc:AlternateContent xmlns:mc="http://schemas.openxmlformats.org/markup-compatibility/2006">
          <mc:Choice Requires="x14">
            <control shapeId="52273" r:id="rId72" name="TopSide">
              <controlPr defaultSize="0" autoFill="0" autoLine="0" autoPict="0" altText="Sides">
                <anchor moveWithCells="1" sizeWithCells="1">
                  <from>
                    <xdr:col>19</xdr:col>
                    <xdr:colOff>0</xdr:colOff>
                    <xdr:row>17</xdr:row>
                    <xdr:rowOff>19050</xdr:rowOff>
                  </from>
                  <to>
                    <xdr:col>19</xdr:col>
                    <xdr:colOff>133350</xdr:colOff>
                    <xdr:row>17</xdr:row>
                    <xdr:rowOff>190500</xdr:rowOff>
                  </to>
                </anchor>
              </controlPr>
            </control>
          </mc:Choice>
        </mc:AlternateContent>
        <mc:AlternateContent xmlns:mc="http://schemas.openxmlformats.org/markup-compatibility/2006">
          <mc:Choice Requires="x14">
            <control shapeId="52274" r:id="rId73" name="BottomSide">
              <controlPr defaultSize="0" autoFill="0" autoLine="0" autoPict="0" altText="Sides">
                <anchor moveWithCells="1" sizeWithCells="1">
                  <from>
                    <xdr:col>19</xdr:col>
                    <xdr:colOff>161925</xdr:colOff>
                    <xdr:row>17</xdr:row>
                    <xdr:rowOff>19050</xdr:rowOff>
                  </from>
                  <to>
                    <xdr:col>19</xdr:col>
                    <xdr:colOff>295275</xdr:colOff>
                    <xdr:row>17</xdr:row>
                    <xdr:rowOff>190500</xdr:rowOff>
                  </to>
                </anchor>
              </controlPr>
            </control>
          </mc:Choice>
        </mc:AlternateContent>
        <mc:AlternateContent xmlns:mc="http://schemas.openxmlformats.org/markup-compatibility/2006">
          <mc:Choice Requires="x14">
            <control shapeId="52275" r:id="rId74" name="LeftSide">
              <controlPr locked="0" defaultSize="0" autoFill="0" autoLine="0" autoPict="0" altText="Sides">
                <anchor moveWithCells="1" sizeWithCells="1">
                  <from>
                    <xdr:col>19</xdr:col>
                    <xdr:colOff>333375</xdr:colOff>
                    <xdr:row>18</xdr:row>
                    <xdr:rowOff>19050</xdr:rowOff>
                  </from>
                  <to>
                    <xdr:col>19</xdr:col>
                    <xdr:colOff>466725</xdr:colOff>
                    <xdr:row>18</xdr:row>
                    <xdr:rowOff>190500</xdr:rowOff>
                  </to>
                </anchor>
              </controlPr>
            </control>
          </mc:Choice>
        </mc:AlternateContent>
        <mc:AlternateContent xmlns:mc="http://schemas.openxmlformats.org/markup-compatibility/2006">
          <mc:Choice Requires="x14">
            <control shapeId="52276" r:id="rId75" name="RightSide">
              <controlPr defaultSize="0" autoFill="0" autoLine="0" autoPict="0" altText="Sides">
                <anchor moveWithCells="1" sizeWithCells="1">
                  <from>
                    <xdr:col>19</xdr:col>
                    <xdr:colOff>495300</xdr:colOff>
                    <xdr:row>18</xdr:row>
                    <xdr:rowOff>19050</xdr:rowOff>
                  </from>
                  <to>
                    <xdr:col>19</xdr:col>
                    <xdr:colOff>628650</xdr:colOff>
                    <xdr:row>18</xdr:row>
                    <xdr:rowOff>190500</xdr:rowOff>
                  </to>
                </anchor>
              </controlPr>
            </control>
          </mc:Choice>
        </mc:AlternateContent>
        <mc:AlternateContent xmlns:mc="http://schemas.openxmlformats.org/markup-compatibility/2006">
          <mc:Choice Requires="x14">
            <control shapeId="52277" r:id="rId76" name="TopSide">
              <controlPr defaultSize="0" autoFill="0" autoLine="0" autoPict="0" altText="Sides">
                <anchor moveWithCells="1" sizeWithCells="1">
                  <from>
                    <xdr:col>19</xdr:col>
                    <xdr:colOff>0</xdr:colOff>
                    <xdr:row>18</xdr:row>
                    <xdr:rowOff>19050</xdr:rowOff>
                  </from>
                  <to>
                    <xdr:col>19</xdr:col>
                    <xdr:colOff>133350</xdr:colOff>
                    <xdr:row>18</xdr:row>
                    <xdr:rowOff>190500</xdr:rowOff>
                  </to>
                </anchor>
              </controlPr>
            </control>
          </mc:Choice>
        </mc:AlternateContent>
        <mc:AlternateContent xmlns:mc="http://schemas.openxmlformats.org/markup-compatibility/2006">
          <mc:Choice Requires="x14">
            <control shapeId="52278" r:id="rId77" name="BottomSide">
              <controlPr defaultSize="0" autoFill="0" autoLine="0" autoPict="0" altText="Sides">
                <anchor moveWithCells="1" sizeWithCells="1">
                  <from>
                    <xdr:col>19</xdr:col>
                    <xdr:colOff>161925</xdr:colOff>
                    <xdr:row>18</xdr:row>
                    <xdr:rowOff>19050</xdr:rowOff>
                  </from>
                  <to>
                    <xdr:col>19</xdr:col>
                    <xdr:colOff>295275</xdr:colOff>
                    <xdr:row>18</xdr:row>
                    <xdr:rowOff>190500</xdr:rowOff>
                  </to>
                </anchor>
              </controlPr>
            </control>
          </mc:Choice>
        </mc:AlternateContent>
        <mc:AlternateContent xmlns:mc="http://schemas.openxmlformats.org/markup-compatibility/2006">
          <mc:Choice Requires="x14">
            <control shapeId="52279" r:id="rId78" name="LeftSide">
              <controlPr locked="0" defaultSize="0" autoFill="0" autoLine="0" autoPict="0" altText="Sides">
                <anchor moveWithCells="1" sizeWithCells="1">
                  <from>
                    <xdr:col>19</xdr:col>
                    <xdr:colOff>333375</xdr:colOff>
                    <xdr:row>19</xdr:row>
                    <xdr:rowOff>19050</xdr:rowOff>
                  </from>
                  <to>
                    <xdr:col>19</xdr:col>
                    <xdr:colOff>466725</xdr:colOff>
                    <xdr:row>19</xdr:row>
                    <xdr:rowOff>190500</xdr:rowOff>
                  </to>
                </anchor>
              </controlPr>
            </control>
          </mc:Choice>
        </mc:AlternateContent>
        <mc:AlternateContent xmlns:mc="http://schemas.openxmlformats.org/markup-compatibility/2006">
          <mc:Choice Requires="x14">
            <control shapeId="52280" r:id="rId79" name="RightSide">
              <controlPr defaultSize="0" autoFill="0" autoLine="0" autoPict="0" altText="Sides">
                <anchor moveWithCells="1" sizeWithCells="1">
                  <from>
                    <xdr:col>19</xdr:col>
                    <xdr:colOff>495300</xdr:colOff>
                    <xdr:row>19</xdr:row>
                    <xdr:rowOff>19050</xdr:rowOff>
                  </from>
                  <to>
                    <xdr:col>19</xdr:col>
                    <xdr:colOff>628650</xdr:colOff>
                    <xdr:row>19</xdr:row>
                    <xdr:rowOff>190500</xdr:rowOff>
                  </to>
                </anchor>
              </controlPr>
            </control>
          </mc:Choice>
        </mc:AlternateContent>
        <mc:AlternateContent xmlns:mc="http://schemas.openxmlformats.org/markup-compatibility/2006">
          <mc:Choice Requires="x14">
            <control shapeId="52281" r:id="rId80" name="TopSide">
              <controlPr defaultSize="0" autoFill="0" autoLine="0" autoPict="0" altText="Sides">
                <anchor moveWithCells="1" sizeWithCells="1">
                  <from>
                    <xdr:col>19</xdr:col>
                    <xdr:colOff>0</xdr:colOff>
                    <xdr:row>19</xdr:row>
                    <xdr:rowOff>19050</xdr:rowOff>
                  </from>
                  <to>
                    <xdr:col>19</xdr:col>
                    <xdr:colOff>133350</xdr:colOff>
                    <xdr:row>19</xdr:row>
                    <xdr:rowOff>190500</xdr:rowOff>
                  </to>
                </anchor>
              </controlPr>
            </control>
          </mc:Choice>
        </mc:AlternateContent>
        <mc:AlternateContent xmlns:mc="http://schemas.openxmlformats.org/markup-compatibility/2006">
          <mc:Choice Requires="x14">
            <control shapeId="52282" r:id="rId81" name="BottomSide">
              <controlPr defaultSize="0" autoFill="0" autoLine="0" autoPict="0" altText="Sides">
                <anchor moveWithCells="1" sizeWithCells="1">
                  <from>
                    <xdr:col>19</xdr:col>
                    <xdr:colOff>161925</xdr:colOff>
                    <xdr:row>19</xdr:row>
                    <xdr:rowOff>19050</xdr:rowOff>
                  </from>
                  <to>
                    <xdr:col>19</xdr:col>
                    <xdr:colOff>295275</xdr:colOff>
                    <xdr:row>19</xdr:row>
                    <xdr:rowOff>190500</xdr:rowOff>
                  </to>
                </anchor>
              </controlPr>
            </control>
          </mc:Choice>
        </mc:AlternateContent>
        <mc:AlternateContent xmlns:mc="http://schemas.openxmlformats.org/markup-compatibility/2006">
          <mc:Choice Requires="x14">
            <control shapeId="52283" r:id="rId82" name="LeftSide">
              <controlPr locked="0" defaultSize="0" autoFill="0" autoLine="0" autoPict="0" altText="Sides">
                <anchor moveWithCells="1" sizeWithCells="1">
                  <from>
                    <xdr:col>19</xdr:col>
                    <xdr:colOff>333375</xdr:colOff>
                    <xdr:row>20</xdr:row>
                    <xdr:rowOff>19050</xdr:rowOff>
                  </from>
                  <to>
                    <xdr:col>19</xdr:col>
                    <xdr:colOff>466725</xdr:colOff>
                    <xdr:row>20</xdr:row>
                    <xdr:rowOff>190500</xdr:rowOff>
                  </to>
                </anchor>
              </controlPr>
            </control>
          </mc:Choice>
        </mc:AlternateContent>
        <mc:AlternateContent xmlns:mc="http://schemas.openxmlformats.org/markup-compatibility/2006">
          <mc:Choice Requires="x14">
            <control shapeId="52284" r:id="rId83" name="RightSide">
              <controlPr defaultSize="0" autoFill="0" autoLine="0" autoPict="0" altText="Sides">
                <anchor moveWithCells="1" sizeWithCells="1">
                  <from>
                    <xdr:col>19</xdr:col>
                    <xdr:colOff>495300</xdr:colOff>
                    <xdr:row>20</xdr:row>
                    <xdr:rowOff>19050</xdr:rowOff>
                  </from>
                  <to>
                    <xdr:col>19</xdr:col>
                    <xdr:colOff>628650</xdr:colOff>
                    <xdr:row>20</xdr:row>
                    <xdr:rowOff>190500</xdr:rowOff>
                  </to>
                </anchor>
              </controlPr>
            </control>
          </mc:Choice>
        </mc:AlternateContent>
        <mc:AlternateContent xmlns:mc="http://schemas.openxmlformats.org/markup-compatibility/2006">
          <mc:Choice Requires="x14">
            <control shapeId="52285" r:id="rId84" name="TopSide">
              <controlPr defaultSize="0" autoFill="0" autoLine="0" autoPict="0" altText="Sides">
                <anchor moveWithCells="1" sizeWithCells="1">
                  <from>
                    <xdr:col>19</xdr:col>
                    <xdr:colOff>0</xdr:colOff>
                    <xdr:row>20</xdr:row>
                    <xdr:rowOff>19050</xdr:rowOff>
                  </from>
                  <to>
                    <xdr:col>19</xdr:col>
                    <xdr:colOff>133350</xdr:colOff>
                    <xdr:row>20</xdr:row>
                    <xdr:rowOff>190500</xdr:rowOff>
                  </to>
                </anchor>
              </controlPr>
            </control>
          </mc:Choice>
        </mc:AlternateContent>
        <mc:AlternateContent xmlns:mc="http://schemas.openxmlformats.org/markup-compatibility/2006">
          <mc:Choice Requires="x14">
            <control shapeId="52286" r:id="rId85" name="BottomSide">
              <controlPr defaultSize="0" autoFill="0" autoLine="0" autoPict="0" altText="Sides">
                <anchor moveWithCells="1" sizeWithCells="1">
                  <from>
                    <xdr:col>19</xdr:col>
                    <xdr:colOff>161925</xdr:colOff>
                    <xdr:row>20</xdr:row>
                    <xdr:rowOff>19050</xdr:rowOff>
                  </from>
                  <to>
                    <xdr:col>19</xdr:col>
                    <xdr:colOff>295275</xdr:colOff>
                    <xdr:row>20</xdr:row>
                    <xdr:rowOff>190500</xdr:rowOff>
                  </to>
                </anchor>
              </controlPr>
            </control>
          </mc:Choice>
        </mc:AlternateContent>
        <mc:AlternateContent xmlns:mc="http://schemas.openxmlformats.org/markup-compatibility/2006">
          <mc:Choice Requires="x14">
            <control shapeId="52287" r:id="rId86" name="LeftSide">
              <controlPr locked="0" defaultSize="0" autoFill="0" autoLine="0" autoPict="0" altText="Sides">
                <anchor moveWithCells="1" sizeWithCells="1">
                  <from>
                    <xdr:col>19</xdr:col>
                    <xdr:colOff>333375</xdr:colOff>
                    <xdr:row>21</xdr:row>
                    <xdr:rowOff>19050</xdr:rowOff>
                  </from>
                  <to>
                    <xdr:col>19</xdr:col>
                    <xdr:colOff>466725</xdr:colOff>
                    <xdr:row>21</xdr:row>
                    <xdr:rowOff>190500</xdr:rowOff>
                  </to>
                </anchor>
              </controlPr>
            </control>
          </mc:Choice>
        </mc:AlternateContent>
        <mc:AlternateContent xmlns:mc="http://schemas.openxmlformats.org/markup-compatibility/2006">
          <mc:Choice Requires="x14">
            <control shapeId="52288" r:id="rId87" name="RightSide">
              <controlPr defaultSize="0" autoFill="0" autoLine="0" autoPict="0" altText="Sides">
                <anchor moveWithCells="1" sizeWithCells="1">
                  <from>
                    <xdr:col>19</xdr:col>
                    <xdr:colOff>495300</xdr:colOff>
                    <xdr:row>21</xdr:row>
                    <xdr:rowOff>19050</xdr:rowOff>
                  </from>
                  <to>
                    <xdr:col>19</xdr:col>
                    <xdr:colOff>628650</xdr:colOff>
                    <xdr:row>21</xdr:row>
                    <xdr:rowOff>190500</xdr:rowOff>
                  </to>
                </anchor>
              </controlPr>
            </control>
          </mc:Choice>
        </mc:AlternateContent>
        <mc:AlternateContent xmlns:mc="http://schemas.openxmlformats.org/markup-compatibility/2006">
          <mc:Choice Requires="x14">
            <control shapeId="52289" r:id="rId88" name="TopSide">
              <controlPr defaultSize="0" autoFill="0" autoLine="0" autoPict="0" altText="Sides">
                <anchor moveWithCells="1" sizeWithCells="1">
                  <from>
                    <xdr:col>19</xdr:col>
                    <xdr:colOff>0</xdr:colOff>
                    <xdr:row>21</xdr:row>
                    <xdr:rowOff>19050</xdr:rowOff>
                  </from>
                  <to>
                    <xdr:col>19</xdr:col>
                    <xdr:colOff>133350</xdr:colOff>
                    <xdr:row>21</xdr:row>
                    <xdr:rowOff>190500</xdr:rowOff>
                  </to>
                </anchor>
              </controlPr>
            </control>
          </mc:Choice>
        </mc:AlternateContent>
        <mc:AlternateContent xmlns:mc="http://schemas.openxmlformats.org/markup-compatibility/2006">
          <mc:Choice Requires="x14">
            <control shapeId="52290" r:id="rId89" name="BottomSide">
              <controlPr defaultSize="0" autoFill="0" autoLine="0" autoPict="0" altText="Sides">
                <anchor moveWithCells="1" sizeWithCells="1">
                  <from>
                    <xdr:col>19</xdr:col>
                    <xdr:colOff>161925</xdr:colOff>
                    <xdr:row>21</xdr:row>
                    <xdr:rowOff>19050</xdr:rowOff>
                  </from>
                  <to>
                    <xdr:col>19</xdr:col>
                    <xdr:colOff>295275</xdr:colOff>
                    <xdr:row>21</xdr:row>
                    <xdr:rowOff>190500</xdr:rowOff>
                  </to>
                </anchor>
              </controlPr>
            </control>
          </mc:Choice>
        </mc:AlternateContent>
        <mc:AlternateContent xmlns:mc="http://schemas.openxmlformats.org/markup-compatibility/2006">
          <mc:Choice Requires="x14">
            <control shapeId="52291" r:id="rId90" name="LeftSide">
              <controlPr locked="0" defaultSize="0" autoFill="0" autoLine="0" autoPict="0" altText="Sides">
                <anchor moveWithCells="1" sizeWithCells="1">
                  <from>
                    <xdr:col>19</xdr:col>
                    <xdr:colOff>333375</xdr:colOff>
                    <xdr:row>22</xdr:row>
                    <xdr:rowOff>28575</xdr:rowOff>
                  </from>
                  <to>
                    <xdr:col>19</xdr:col>
                    <xdr:colOff>466725</xdr:colOff>
                    <xdr:row>22</xdr:row>
                    <xdr:rowOff>190500</xdr:rowOff>
                  </to>
                </anchor>
              </controlPr>
            </control>
          </mc:Choice>
        </mc:AlternateContent>
        <mc:AlternateContent xmlns:mc="http://schemas.openxmlformats.org/markup-compatibility/2006">
          <mc:Choice Requires="x14">
            <control shapeId="52292" r:id="rId91" name="RightSide">
              <controlPr defaultSize="0" autoFill="0" autoLine="0" autoPict="0" altText="Sides">
                <anchor moveWithCells="1" sizeWithCells="1">
                  <from>
                    <xdr:col>19</xdr:col>
                    <xdr:colOff>495300</xdr:colOff>
                    <xdr:row>22</xdr:row>
                    <xdr:rowOff>28575</xdr:rowOff>
                  </from>
                  <to>
                    <xdr:col>19</xdr:col>
                    <xdr:colOff>628650</xdr:colOff>
                    <xdr:row>22</xdr:row>
                    <xdr:rowOff>190500</xdr:rowOff>
                  </to>
                </anchor>
              </controlPr>
            </control>
          </mc:Choice>
        </mc:AlternateContent>
        <mc:AlternateContent xmlns:mc="http://schemas.openxmlformats.org/markup-compatibility/2006">
          <mc:Choice Requires="x14">
            <control shapeId="52293" r:id="rId92" name="TopSide">
              <controlPr defaultSize="0" autoFill="0" autoLine="0" autoPict="0" altText="Sides">
                <anchor moveWithCells="1" sizeWithCells="1">
                  <from>
                    <xdr:col>19</xdr:col>
                    <xdr:colOff>0</xdr:colOff>
                    <xdr:row>22</xdr:row>
                    <xdr:rowOff>28575</xdr:rowOff>
                  </from>
                  <to>
                    <xdr:col>19</xdr:col>
                    <xdr:colOff>133350</xdr:colOff>
                    <xdr:row>22</xdr:row>
                    <xdr:rowOff>190500</xdr:rowOff>
                  </to>
                </anchor>
              </controlPr>
            </control>
          </mc:Choice>
        </mc:AlternateContent>
        <mc:AlternateContent xmlns:mc="http://schemas.openxmlformats.org/markup-compatibility/2006">
          <mc:Choice Requires="x14">
            <control shapeId="52294" r:id="rId93" name="BottomSide">
              <controlPr defaultSize="0" autoFill="0" autoLine="0" autoPict="0" altText="Sides">
                <anchor moveWithCells="1" sizeWithCells="1">
                  <from>
                    <xdr:col>19</xdr:col>
                    <xdr:colOff>161925</xdr:colOff>
                    <xdr:row>22</xdr:row>
                    <xdr:rowOff>28575</xdr:rowOff>
                  </from>
                  <to>
                    <xdr:col>19</xdr:col>
                    <xdr:colOff>295275</xdr:colOff>
                    <xdr:row>22</xdr:row>
                    <xdr:rowOff>190500</xdr:rowOff>
                  </to>
                </anchor>
              </controlPr>
            </control>
          </mc:Choice>
        </mc:AlternateContent>
        <mc:AlternateContent xmlns:mc="http://schemas.openxmlformats.org/markup-compatibility/2006">
          <mc:Choice Requires="x14">
            <control shapeId="52295" r:id="rId94" name="LeftSide">
              <controlPr locked="0" defaultSize="0" autoFill="0" autoLine="0" autoPict="0" altText="Sides">
                <anchor moveWithCells="1" sizeWithCells="1">
                  <from>
                    <xdr:col>19</xdr:col>
                    <xdr:colOff>333375</xdr:colOff>
                    <xdr:row>23</xdr:row>
                    <xdr:rowOff>28575</xdr:rowOff>
                  </from>
                  <to>
                    <xdr:col>19</xdr:col>
                    <xdr:colOff>466725</xdr:colOff>
                    <xdr:row>23</xdr:row>
                    <xdr:rowOff>190500</xdr:rowOff>
                  </to>
                </anchor>
              </controlPr>
            </control>
          </mc:Choice>
        </mc:AlternateContent>
        <mc:AlternateContent xmlns:mc="http://schemas.openxmlformats.org/markup-compatibility/2006">
          <mc:Choice Requires="x14">
            <control shapeId="52296" r:id="rId95" name="RightSide">
              <controlPr defaultSize="0" autoFill="0" autoLine="0" autoPict="0" altText="Sides">
                <anchor moveWithCells="1" sizeWithCells="1">
                  <from>
                    <xdr:col>19</xdr:col>
                    <xdr:colOff>495300</xdr:colOff>
                    <xdr:row>23</xdr:row>
                    <xdr:rowOff>28575</xdr:rowOff>
                  </from>
                  <to>
                    <xdr:col>19</xdr:col>
                    <xdr:colOff>628650</xdr:colOff>
                    <xdr:row>23</xdr:row>
                    <xdr:rowOff>190500</xdr:rowOff>
                  </to>
                </anchor>
              </controlPr>
            </control>
          </mc:Choice>
        </mc:AlternateContent>
        <mc:AlternateContent xmlns:mc="http://schemas.openxmlformats.org/markup-compatibility/2006">
          <mc:Choice Requires="x14">
            <control shapeId="52297" r:id="rId96" name="TopSide">
              <controlPr defaultSize="0" autoFill="0" autoLine="0" autoPict="0" altText="Sides">
                <anchor moveWithCells="1" sizeWithCells="1">
                  <from>
                    <xdr:col>19</xdr:col>
                    <xdr:colOff>0</xdr:colOff>
                    <xdr:row>23</xdr:row>
                    <xdr:rowOff>28575</xdr:rowOff>
                  </from>
                  <to>
                    <xdr:col>19</xdr:col>
                    <xdr:colOff>133350</xdr:colOff>
                    <xdr:row>23</xdr:row>
                    <xdr:rowOff>190500</xdr:rowOff>
                  </to>
                </anchor>
              </controlPr>
            </control>
          </mc:Choice>
        </mc:AlternateContent>
        <mc:AlternateContent xmlns:mc="http://schemas.openxmlformats.org/markup-compatibility/2006">
          <mc:Choice Requires="x14">
            <control shapeId="52298" r:id="rId97" name="BottomSide">
              <controlPr defaultSize="0" autoFill="0" autoLine="0" autoPict="0" altText="Sides">
                <anchor moveWithCells="1" sizeWithCells="1">
                  <from>
                    <xdr:col>19</xdr:col>
                    <xdr:colOff>161925</xdr:colOff>
                    <xdr:row>23</xdr:row>
                    <xdr:rowOff>28575</xdr:rowOff>
                  </from>
                  <to>
                    <xdr:col>19</xdr:col>
                    <xdr:colOff>295275</xdr:colOff>
                    <xdr:row>23</xdr:row>
                    <xdr:rowOff>190500</xdr:rowOff>
                  </to>
                </anchor>
              </controlPr>
            </control>
          </mc:Choice>
        </mc:AlternateContent>
        <mc:AlternateContent xmlns:mc="http://schemas.openxmlformats.org/markup-compatibility/2006">
          <mc:Choice Requires="x14">
            <control shapeId="52299" r:id="rId98" name="LeftSide">
              <controlPr locked="0" defaultSize="0" autoFill="0" autoLine="0" autoPict="0" altText="Sides">
                <anchor moveWithCells="1" sizeWithCells="1">
                  <from>
                    <xdr:col>19</xdr:col>
                    <xdr:colOff>333375</xdr:colOff>
                    <xdr:row>24</xdr:row>
                    <xdr:rowOff>28575</xdr:rowOff>
                  </from>
                  <to>
                    <xdr:col>19</xdr:col>
                    <xdr:colOff>466725</xdr:colOff>
                    <xdr:row>24</xdr:row>
                    <xdr:rowOff>200025</xdr:rowOff>
                  </to>
                </anchor>
              </controlPr>
            </control>
          </mc:Choice>
        </mc:AlternateContent>
        <mc:AlternateContent xmlns:mc="http://schemas.openxmlformats.org/markup-compatibility/2006">
          <mc:Choice Requires="x14">
            <control shapeId="52300" r:id="rId99" name="RightSide">
              <controlPr defaultSize="0" autoFill="0" autoLine="0" autoPict="0" altText="Sides">
                <anchor moveWithCells="1" sizeWithCells="1">
                  <from>
                    <xdr:col>19</xdr:col>
                    <xdr:colOff>495300</xdr:colOff>
                    <xdr:row>24</xdr:row>
                    <xdr:rowOff>28575</xdr:rowOff>
                  </from>
                  <to>
                    <xdr:col>19</xdr:col>
                    <xdr:colOff>628650</xdr:colOff>
                    <xdr:row>25</xdr:row>
                    <xdr:rowOff>0</xdr:rowOff>
                  </to>
                </anchor>
              </controlPr>
            </control>
          </mc:Choice>
        </mc:AlternateContent>
        <mc:AlternateContent xmlns:mc="http://schemas.openxmlformats.org/markup-compatibility/2006">
          <mc:Choice Requires="x14">
            <control shapeId="52301" r:id="rId100" name="TopSide">
              <controlPr defaultSize="0" autoFill="0" autoLine="0" autoPict="0" altText="Sides">
                <anchor moveWithCells="1" sizeWithCells="1">
                  <from>
                    <xdr:col>19</xdr:col>
                    <xdr:colOff>0</xdr:colOff>
                    <xdr:row>24</xdr:row>
                    <xdr:rowOff>28575</xdr:rowOff>
                  </from>
                  <to>
                    <xdr:col>19</xdr:col>
                    <xdr:colOff>133350</xdr:colOff>
                    <xdr:row>25</xdr:row>
                    <xdr:rowOff>0</xdr:rowOff>
                  </to>
                </anchor>
              </controlPr>
            </control>
          </mc:Choice>
        </mc:AlternateContent>
        <mc:AlternateContent xmlns:mc="http://schemas.openxmlformats.org/markup-compatibility/2006">
          <mc:Choice Requires="x14">
            <control shapeId="52302" r:id="rId101" name="BottomSide">
              <controlPr defaultSize="0" autoFill="0" autoLine="0" autoPict="0" altText="Sides">
                <anchor moveWithCells="1" sizeWithCells="1">
                  <from>
                    <xdr:col>19</xdr:col>
                    <xdr:colOff>161925</xdr:colOff>
                    <xdr:row>24</xdr:row>
                    <xdr:rowOff>28575</xdr:rowOff>
                  </from>
                  <to>
                    <xdr:col>19</xdr:col>
                    <xdr:colOff>295275</xdr:colOff>
                    <xdr:row>25</xdr:row>
                    <xdr:rowOff>0</xdr:rowOff>
                  </to>
                </anchor>
              </controlPr>
            </control>
          </mc:Choice>
        </mc:AlternateContent>
        <mc:AlternateContent xmlns:mc="http://schemas.openxmlformats.org/markup-compatibility/2006">
          <mc:Choice Requires="x14">
            <control shapeId="52303" r:id="rId102" name="LeftSide">
              <controlPr locked="0" defaultSize="0" autoFill="0" autoLine="0" autoPict="0" altText="Sides">
                <anchor moveWithCells="1" sizeWithCells="1">
                  <from>
                    <xdr:col>19</xdr:col>
                    <xdr:colOff>333375</xdr:colOff>
                    <xdr:row>25</xdr:row>
                    <xdr:rowOff>28575</xdr:rowOff>
                  </from>
                  <to>
                    <xdr:col>19</xdr:col>
                    <xdr:colOff>466725</xdr:colOff>
                    <xdr:row>25</xdr:row>
                    <xdr:rowOff>200025</xdr:rowOff>
                  </to>
                </anchor>
              </controlPr>
            </control>
          </mc:Choice>
        </mc:AlternateContent>
        <mc:AlternateContent xmlns:mc="http://schemas.openxmlformats.org/markup-compatibility/2006">
          <mc:Choice Requires="x14">
            <control shapeId="52304" r:id="rId103" name="RightSide">
              <controlPr defaultSize="0" autoFill="0" autoLine="0" autoPict="0" altText="Sides">
                <anchor moveWithCells="1" sizeWithCells="1">
                  <from>
                    <xdr:col>19</xdr:col>
                    <xdr:colOff>495300</xdr:colOff>
                    <xdr:row>25</xdr:row>
                    <xdr:rowOff>28575</xdr:rowOff>
                  </from>
                  <to>
                    <xdr:col>19</xdr:col>
                    <xdr:colOff>628650</xdr:colOff>
                    <xdr:row>26</xdr:row>
                    <xdr:rowOff>0</xdr:rowOff>
                  </to>
                </anchor>
              </controlPr>
            </control>
          </mc:Choice>
        </mc:AlternateContent>
        <mc:AlternateContent xmlns:mc="http://schemas.openxmlformats.org/markup-compatibility/2006">
          <mc:Choice Requires="x14">
            <control shapeId="52305" r:id="rId104" name="TopSide">
              <controlPr defaultSize="0" autoFill="0" autoLine="0" autoPict="0" altText="Sides">
                <anchor moveWithCells="1" sizeWithCells="1">
                  <from>
                    <xdr:col>19</xdr:col>
                    <xdr:colOff>0</xdr:colOff>
                    <xdr:row>25</xdr:row>
                    <xdr:rowOff>28575</xdr:rowOff>
                  </from>
                  <to>
                    <xdr:col>19</xdr:col>
                    <xdr:colOff>133350</xdr:colOff>
                    <xdr:row>26</xdr:row>
                    <xdr:rowOff>0</xdr:rowOff>
                  </to>
                </anchor>
              </controlPr>
            </control>
          </mc:Choice>
        </mc:AlternateContent>
        <mc:AlternateContent xmlns:mc="http://schemas.openxmlformats.org/markup-compatibility/2006">
          <mc:Choice Requires="x14">
            <control shapeId="52306" r:id="rId105" name="BottomSide">
              <controlPr defaultSize="0" autoFill="0" autoLine="0" autoPict="0" altText="Sides">
                <anchor moveWithCells="1" sizeWithCells="1">
                  <from>
                    <xdr:col>19</xdr:col>
                    <xdr:colOff>161925</xdr:colOff>
                    <xdr:row>25</xdr:row>
                    <xdr:rowOff>28575</xdr:rowOff>
                  </from>
                  <to>
                    <xdr:col>19</xdr:col>
                    <xdr:colOff>295275</xdr:colOff>
                    <xdr:row>26</xdr:row>
                    <xdr:rowOff>0</xdr:rowOff>
                  </to>
                </anchor>
              </controlPr>
            </control>
          </mc:Choice>
        </mc:AlternateContent>
        <mc:AlternateContent xmlns:mc="http://schemas.openxmlformats.org/markup-compatibility/2006">
          <mc:Choice Requires="x14">
            <control shapeId="52347" r:id="rId106" name="LeftSide">
              <controlPr locked="0" defaultSize="0" autoFill="0" autoLine="0" autoPict="0" altText="Sides">
                <anchor moveWithCells="1" sizeWithCells="1">
                  <from>
                    <xdr:col>20</xdr:col>
                    <xdr:colOff>333375</xdr:colOff>
                    <xdr:row>6</xdr:row>
                    <xdr:rowOff>0</xdr:rowOff>
                  </from>
                  <to>
                    <xdr:col>20</xdr:col>
                    <xdr:colOff>466725</xdr:colOff>
                    <xdr:row>6</xdr:row>
                    <xdr:rowOff>171450</xdr:rowOff>
                  </to>
                </anchor>
              </controlPr>
            </control>
          </mc:Choice>
        </mc:AlternateContent>
        <mc:AlternateContent xmlns:mc="http://schemas.openxmlformats.org/markup-compatibility/2006">
          <mc:Choice Requires="x14">
            <control shapeId="52348" r:id="rId107" name="RightSide">
              <controlPr defaultSize="0" autoFill="0" autoLine="0" autoPict="0" altText="Sides">
                <anchor moveWithCells="1" sizeWithCells="1">
                  <from>
                    <xdr:col>20</xdr:col>
                    <xdr:colOff>495300</xdr:colOff>
                    <xdr:row>6</xdr:row>
                    <xdr:rowOff>0</xdr:rowOff>
                  </from>
                  <to>
                    <xdr:col>20</xdr:col>
                    <xdr:colOff>628650</xdr:colOff>
                    <xdr:row>6</xdr:row>
                    <xdr:rowOff>171450</xdr:rowOff>
                  </to>
                </anchor>
              </controlPr>
            </control>
          </mc:Choice>
        </mc:AlternateContent>
        <mc:AlternateContent xmlns:mc="http://schemas.openxmlformats.org/markup-compatibility/2006">
          <mc:Choice Requires="x14">
            <control shapeId="52349" r:id="rId108" name="TopSide">
              <controlPr defaultSize="0" autoFill="0" autoLine="0" autoPict="0" altText="Sides">
                <anchor moveWithCells="1" sizeWithCells="1">
                  <from>
                    <xdr:col>20</xdr:col>
                    <xdr:colOff>0</xdr:colOff>
                    <xdr:row>6</xdr:row>
                    <xdr:rowOff>0</xdr:rowOff>
                  </from>
                  <to>
                    <xdr:col>20</xdr:col>
                    <xdr:colOff>133350</xdr:colOff>
                    <xdr:row>6</xdr:row>
                    <xdr:rowOff>171450</xdr:rowOff>
                  </to>
                </anchor>
              </controlPr>
            </control>
          </mc:Choice>
        </mc:AlternateContent>
        <mc:AlternateContent xmlns:mc="http://schemas.openxmlformats.org/markup-compatibility/2006">
          <mc:Choice Requires="x14">
            <control shapeId="52350" r:id="rId109" name="BottomSide">
              <controlPr defaultSize="0" autoFill="0" autoLine="0" autoPict="0" altText="Sides">
                <anchor moveWithCells="1" sizeWithCells="1">
                  <from>
                    <xdr:col>20</xdr:col>
                    <xdr:colOff>161925</xdr:colOff>
                    <xdr:row>6</xdr:row>
                    <xdr:rowOff>0</xdr:rowOff>
                  </from>
                  <to>
                    <xdr:col>20</xdr:col>
                    <xdr:colOff>295275</xdr:colOff>
                    <xdr:row>6</xdr:row>
                    <xdr:rowOff>171450</xdr:rowOff>
                  </to>
                </anchor>
              </controlPr>
            </control>
          </mc:Choice>
        </mc:AlternateContent>
        <mc:AlternateContent xmlns:mc="http://schemas.openxmlformats.org/markup-compatibility/2006">
          <mc:Choice Requires="x14">
            <control shapeId="52351" r:id="rId110" name="LeftSide">
              <controlPr locked="0" defaultSize="0" autoFill="0" autoLine="0" autoPict="0" altText="Sides">
                <anchor moveWithCells="1" sizeWithCells="1">
                  <from>
                    <xdr:col>20</xdr:col>
                    <xdr:colOff>323850</xdr:colOff>
                    <xdr:row>7</xdr:row>
                    <xdr:rowOff>19050</xdr:rowOff>
                  </from>
                  <to>
                    <xdr:col>20</xdr:col>
                    <xdr:colOff>457200</xdr:colOff>
                    <xdr:row>7</xdr:row>
                    <xdr:rowOff>171450</xdr:rowOff>
                  </to>
                </anchor>
              </controlPr>
            </control>
          </mc:Choice>
        </mc:AlternateContent>
        <mc:AlternateContent xmlns:mc="http://schemas.openxmlformats.org/markup-compatibility/2006">
          <mc:Choice Requires="x14">
            <control shapeId="52352" r:id="rId111" name="RightSide">
              <controlPr defaultSize="0" autoFill="0" autoLine="0" autoPict="0" altText="Sides">
                <anchor moveWithCells="1" sizeWithCells="1">
                  <from>
                    <xdr:col>20</xdr:col>
                    <xdr:colOff>485775</xdr:colOff>
                    <xdr:row>7</xdr:row>
                    <xdr:rowOff>19050</xdr:rowOff>
                  </from>
                  <to>
                    <xdr:col>20</xdr:col>
                    <xdr:colOff>619125</xdr:colOff>
                    <xdr:row>7</xdr:row>
                    <xdr:rowOff>171450</xdr:rowOff>
                  </to>
                </anchor>
              </controlPr>
            </control>
          </mc:Choice>
        </mc:AlternateContent>
        <mc:AlternateContent xmlns:mc="http://schemas.openxmlformats.org/markup-compatibility/2006">
          <mc:Choice Requires="x14">
            <control shapeId="52353" r:id="rId112" name="TopSide">
              <controlPr defaultSize="0" autoFill="0" autoLine="0" autoPict="0" altText="Sides">
                <anchor moveWithCells="1" sizeWithCells="1">
                  <from>
                    <xdr:col>20</xdr:col>
                    <xdr:colOff>0</xdr:colOff>
                    <xdr:row>7</xdr:row>
                    <xdr:rowOff>19050</xdr:rowOff>
                  </from>
                  <to>
                    <xdr:col>20</xdr:col>
                    <xdr:colOff>133350</xdr:colOff>
                    <xdr:row>7</xdr:row>
                    <xdr:rowOff>171450</xdr:rowOff>
                  </to>
                </anchor>
              </controlPr>
            </control>
          </mc:Choice>
        </mc:AlternateContent>
        <mc:AlternateContent xmlns:mc="http://schemas.openxmlformats.org/markup-compatibility/2006">
          <mc:Choice Requires="x14">
            <control shapeId="52354" r:id="rId113" name="BottomSide">
              <controlPr defaultSize="0" autoFill="0" autoLine="0" autoPict="0" altText="Sides">
                <anchor moveWithCells="1" sizeWithCells="1">
                  <from>
                    <xdr:col>20</xdr:col>
                    <xdr:colOff>161925</xdr:colOff>
                    <xdr:row>7</xdr:row>
                    <xdr:rowOff>19050</xdr:rowOff>
                  </from>
                  <to>
                    <xdr:col>20</xdr:col>
                    <xdr:colOff>295275</xdr:colOff>
                    <xdr:row>7</xdr:row>
                    <xdr:rowOff>171450</xdr:rowOff>
                  </to>
                </anchor>
              </controlPr>
            </control>
          </mc:Choice>
        </mc:AlternateContent>
        <mc:AlternateContent xmlns:mc="http://schemas.openxmlformats.org/markup-compatibility/2006">
          <mc:Choice Requires="x14">
            <control shapeId="52355" r:id="rId114" name="LeftSide">
              <controlPr locked="0" defaultSize="0" autoFill="0" autoLine="0" autoPict="0" altText="Sides">
                <anchor moveWithCells="1" sizeWithCells="1">
                  <from>
                    <xdr:col>20</xdr:col>
                    <xdr:colOff>323850</xdr:colOff>
                    <xdr:row>8</xdr:row>
                    <xdr:rowOff>28575</xdr:rowOff>
                  </from>
                  <to>
                    <xdr:col>20</xdr:col>
                    <xdr:colOff>457200</xdr:colOff>
                    <xdr:row>8</xdr:row>
                    <xdr:rowOff>171450</xdr:rowOff>
                  </to>
                </anchor>
              </controlPr>
            </control>
          </mc:Choice>
        </mc:AlternateContent>
        <mc:AlternateContent xmlns:mc="http://schemas.openxmlformats.org/markup-compatibility/2006">
          <mc:Choice Requires="x14">
            <control shapeId="52356" r:id="rId115" name="RightSide">
              <controlPr defaultSize="0" autoFill="0" autoLine="0" autoPict="0" altText="Sides">
                <anchor moveWithCells="1" sizeWithCells="1">
                  <from>
                    <xdr:col>20</xdr:col>
                    <xdr:colOff>485775</xdr:colOff>
                    <xdr:row>8</xdr:row>
                    <xdr:rowOff>28575</xdr:rowOff>
                  </from>
                  <to>
                    <xdr:col>20</xdr:col>
                    <xdr:colOff>619125</xdr:colOff>
                    <xdr:row>8</xdr:row>
                    <xdr:rowOff>171450</xdr:rowOff>
                  </to>
                </anchor>
              </controlPr>
            </control>
          </mc:Choice>
        </mc:AlternateContent>
        <mc:AlternateContent xmlns:mc="http://schemas.openxmlformats.org/markup-compatibility/2006">
          <mc:Choice Requires="x14">
            <control shapeId="52357" r:id="rId116" name="TopSide">
              <controlPr defaultSize="0" autoFill="0" autoLine="0" autoPict="0" altText="Sides">
                <anchor moveWithCells="1" sizeWithCells="1">
                  <from>
                    <xdr:col>20</xdr:col>
                    <xdr:colOff>0</xdr:colOff>
                    <xdr:row>8</xdr:row>
                    <xdr:rowOff>28575</xdr:rowOff>
                  </from>
                  <to>
                    <xdr:col>20</xdr:col>
                    <xdr:colOff>133350</xdr:colOff>
                    <xdr:row>8</xdr:row>
                    <xdr:rowOff>171450</xdr:rowOff>
                  </to>
                </anchor>
              </controlPr>
            </control>
          </mc:Choice>
        </mc:AlternateContent>
        <mc:AlternateContent xmlns:mc="http://schemas.openxmlformats.org/markup-compatibility/2006">
          <mc:Choice Requires="x14">
            <control shapeId="52358" r:id="rId117" name="BottomSide">
              <controlPr defaultSize="0" autoFill="0" autoLine="0" autoPict="0" altText="Sides">
                <anchor moveWithCells="1" sizeWithCells="1">
                  <from>
                    <xdr:col>20</xdr:col>
                    <xdr:colOff>161925</xdr:colOff>
                    <xdr:row>8</xdr:row>
                    <xdr:rowOff>28575</xdr:rowOff>
                  </from>
                  <to>
                    <xdr:col>20</xdr:col>
                    <xdr:colOff>295275</xdr:colOff>
                    <xdr:row>8</xdr:row>
                    <xdr:rowOff>171450</xdr:rowOff>
                  </to>
                </anchor>
              </controlPr>
            </control>
          </mc:Choice>
        </mc:AlternateContent>
        <mc:AlternateContent xmlns:mc="http://schemas.openxmlformats.org/markup-compatibility/2006">
          <mc:Choice Requires="x14">
            <control shapeId="52359" r:id="rId118" name="LeftSide">
              <controlPr locked="0" defaultSize="0" autoFill="0" autoLine="0" autoPict="0" altText="Sides">
                <anchor moveWithCells="1" sizeWithCells="1">
                  <from>
                    <xdr:col>20</xdr:col>
                    <xdr:colOff>323850</xdr:colOff>
                    <xdr:row>9</xdr:row>
                    <xdr:rowOff>28575</xdr:rowOff>
                  </from>
                  <to>
                    <xdr:col>20</xdr:col>
                    <xdr:colOff>457200</xdr:colOff>
                    <xdr:row>9</xdr:row>
                    <xdr:rowOff>171450</xdr:rowOff>
                  </to>
                </anchor>
              </controlPr>
            </control>
          </mc:Choice>
        </mc:AlternateContent>
        <mc:AlternateContent xmlns:mc="http://schemas.openxmlformats.org/markup-compatibility/2006">
          <mc:Choice Requires="x14">
            <control shapeId="52360" r:id="rId119" name="RightSide">
              <controlPr defaultSize="0" autoFill="0" autoLine="0" autoPict="0" altText="Sides">
                <anchor moveWithCells="1" sizeWithCells="1">
                  <from>
                    <xdr:col>20</xdr:col>
                    <xdr:colOff>485775</xdr:colOff>
                    <xdr:row>9</xdr:row>
                    <xdr:rowOff>28575</xdr:rowOff>
                  </from>
                  <to>
                    <xdr:col>20</xdr:col>
                    <xdr:colOff>619125</xdr:colOff>
                    <xdr:row>9</xdr:row>
                    <xdr:rowOff>171450</xdr:rowOff>
                  </to>
                </anchor>
              </controlPr>
            </control>
          </mc:Choice>
        </mc:AlternateContent>
        <mc:AlternateContent xmlns:mc="http://schemas.openxmlformats.org/markup-compatibility/2006">
          <mc:Choice Requires="x14">
            <control shapeId="52361" r:id="rId120" name="TopSide">
              <controlPr defaultSize="0" autoFill="0" autoLine="0" autoPict="0" altText="Sides">
                <anchor moveWithCells="1" sizeWithCells="1">
                  <from>
                    <xdr:col>20</xdr:col>
                    <xdr:colOff>0</xdr:colOff>
                    <xdr:row>9</xdr:row>
                    <xdr:rowOff>28575</xdr:rowOff>
                  </from>
                  <to>
                    <xdr:col>20</xdr:col>
                    <xdr:colOff>133350</xdr:colOff>
                    <xdr:row>9</xdr:row>
                    <xdr:rowOff>171450</xdr:rowOff>
                  </to>
                </anchor>
              </controlPr>
            </control>
          </mc:Choice>
        </mc:AlternateContent>
        <mc:AlternateContent xmlns:mc="http://schemas.openxmlformats.org/markup-compatibility/2006">
          <mc:Choice Requires="x14">
            <control shapeId="52362" r:id="rId121" name="BottomSide">
              <controlPr defaultSize="0" autoFill="0" autoLine="0" autoPict="0" altText="Sides">
                <anchor moveWithCells="1" sizeWithCells="1">
                  <from>
                    <xdr:col>20</xdr:col>
                    <xdr:colOff>161925</xdr:colOff>
                    <xdr:row>9</xdr:row>
                    <xdr:rowOff>28575</xdr:rowOff>
                  </from>
                  <to>
                    <xdr:col>20</xdr:col>
                    <xdr:colOff>295275</xdr:colOff>
                    <xdr:row>9</xdr:row>
                    <xdr:rowOff>171450</xdr:rowOff>
                  </to>
                </anchor>
              </controlPr>
            </control>
          </mc:Choice>
        </mc:AlternateContent>
        <mc:AlternateContent xmlns:mc="http://schemas.openxmlformats.org/markup-compatibility/2006">
          <mc:Choice Requires="x14">
            <control shapeId="52363" r:id="rId122" name="LeftSide">
              <controlPr locked="0" defaultSize="0" autoFill="0" autoLine="0" autoPict="0" altText="Sides">
                <anchor moveWithCells="1" sizeWithCells="1">
                  <from>
                    <xdr:col>20</xdr:col>
                    <xdr:colOff>323850</xdr:colOff>
                    <xdr:row>10</xdr:row>
                    <xdr:rowOff>28575</xdr:rowOff>
                  </from>
                  <to>
                    <xdr:col>20</xdr:col>
                    <xdr:colOff>457200</xdr:colOff>
                    <xdr:row>10</xdr:row>
                    <xdr:rowOff>180975</xdr:rowOff>
                  </to>
                </anchor>
              </controlPr>
            </control>
          </mc:Choice>
        </mc:AlternateContent>
        <mc:AlternateContent xmlns:mc="http://schemas.openxmlformats.org/markup-compatibility/2006">
          <mc:Choice Requires="x14">
            <control shapeId="52364" r:id="rId123" name="RightSide">
              <controlPr defaultSize="0" autoFill="0" autoLine="0" autoPict="0" altText="Sides">
                <anchor moveWithCells="1" sizeWithCells="1">
                  <from>
                    <xdr:col>20</xdr:col>
                    <xdr:colOff>485775</xdr:colOff>
                    <xdr:row>10</xdr:row>
                    <xdr:rowOff>28575</xdr:rowOff>
                  </from>
                  <to>
                    <xdr:col>20</xdr:col>
                    <xdr:colOff>619125</xdr:colOff>
                    <xdr:row>10</xdr:row>
                    <xdr:rowOff>180975</xdr:rowOff>
                  </to>
                </anchor>
              </controlPr>
            </control>
          </mc:Choice>
        </mc:AlternateContent>
        <mc:AlternateContent xmlns:mc="http://schemas.openxmlformats.org/markup-compatibility/2006">
          <mc:Choice Requires="x14">
            <control shapeId="52365" r:id="rId124" name="TopSide">
              <controlPr defaultSize="0" autoFill="0" autoLine="0" autoPict="0" altText="Sides">
                <anchor moveWithCells="1" sizeWithCells="1">
                  <from>
                    <xdr:col>20</xdr:col>
                    <xdr:colOff>0</xdr:colOff>
                    <xdr:row>10</xdr:row>
                    <xdr:rowOff>28575</xdr:rowOff>
                  </from>
                  <to>
                    <xdr:col>20</xdr:col>
                    <xdr:colOff>133350</xdr:colOff>
                    <xdr:row>10</xdr:row>
                    <xdr:rowOff>180975</xdr:rowOff>
                  </to>
                </anchor>
              </controlPr>
            </control>
          </mc:Choice>
        </mc:AlternateContent>
        <mc:AlternateContent xmlns:mc="http://schemas.openxmlformats.org/markup-compatibility/2006">
          <mc:Choice Requires="x14">
            <control shapeId="52366" r:id="rId125" name="BottomSide">
              <controlPr defaultSize="0" autoFill="0" autoLine="0" autoPict="0" altText="Sides">
                <anchor moveWithCells="1" sizeWithCells="1">
                  <from>
                    <xdr:col>20</xdr:col>
                    <xdr:colOff>161925</xdr:colOff>
                    <xdr:row>10</xdr:row>
                    <xdr:rowOff>28575</xdr:rowOff>
                  </from>
                  <to>
                    <xdr:col>20</xdr:col>
                    <xdr:colOff>295275</xdr:colOff>
                    <xdr:row>10</xdr:row>
                    <xdr:rowOff>180975</xdr:rowOff>
                  </to>
                </anchor>
              </controlPr>
            </control>
          </mc:Choice>
        </mc:AlternateContent>
        <mc:AlternateContent xmlns:mc="http://schemas.openxmlformats.org/markup-compatibility/2006">
          <mc:Choice Requires="x14">
            <control shapeId="52367" r:id="rId126" name="LeftSide">
              <controlPr locked="0" defaultSize="0" autoFill="0" autoLine="0" autoPict="0" altText="Sides">
                <anchor moveWithCells="1" sizeWithCells="1">
                  <from>
                    <xdr:col>20</xdr:col>
                    <xdr:colOff>323850</xdr:colOff>
                    <xdr:row>11</xdr:row>
                    <xdr:rowOff>28575</xdr:rowOff>
                  </from>
                  <to>
                    <xdr:col>20</xdr:col>
                    <xdr:colOff>457200</xdr:colOff>
                    <xdr:row>11</xdr:row>
                    <xdr:rowOff>180975</xdr:rowOff>
                  </to>
                </anchor>
              </controlPr>
            </control>
          </mc:Choice>
        </mc:AlternateContent>
        <mc:AlternateContent xmlns:mc="http://schemas.openxmlformats.org/markup-compatibility/2006">
          <mc:Choice Requires="x14">
            <control shapeId="52368" r:id="rId127" name="RightSide">
              <controlPr defaultSize="0" autoFill="0" autoLine="0" autoPict="0" altText="Sides">
                <anchor moveWithCells="1" sizeWithCells="1">
                  <from>
                    <xdr:col>20</xdr:col>
                    <xdr:colOff>485775</xdr:colOff>
                    <xdr:row>11</xdr:row>
                    <xdr:rowOff>28575</xdr:rowOff>
                  </from>
                  <to>
                    <xdr:col>20</xdr:col>
                    <xdr:colOff>619125</xdr:colOff>
                    <xdr:row>11</xdr:row>
                    <xdr:rowOff>180975</xdr:rowOff>
                  </to>
                </anchor>
              </controlPr>
            </control>
          </mc:Choice>
        </mc:AlternateContent>
        <mc:AlternateContent xmlns:mc="http://schemas.openxmlformats.org/markup-compatibility/2006">
          <mc:Choice Requires="x14">
            <control shapeId="52369" r:id="rId128" name="TopSide">
              <controlPr defaultSize="0" autoFill="0" autoLine="0" autoPict="0" altText="Sides">
                <anchor moveWithCells="1" sizeWithCells="1">
                  <from>
                    <xdr:col>20</xdr:col>
                    <xdr:colOff>0</xdr:colOff>
                    <xdr:row>11</xdr:row>
                    <xdr:rowOff>28575</xdr:rowOff>
                  </from>
                  <to>
                    <xdr:col>20</xdr:col>
                    <xdr:colOff>133350</xdr:colOff>
                    <xdr:row>11</xdr:row>
                    <xdr:rowOff>180975</xdr:rowOff>
                  </to>
                </anchor>
              </controlPr>
            </control>
          </mc:Choice>
        </mc:AlternateContent>
        <mc:AlternateContent xmlns:mc="http://schemas.openxmlformats.org/markup-compatibility/2006">
          <mc:Choice Requires="x14">
            <control shapeId="52370" r:id="rId129" name="BottomSide">
              <controlPr defaultSize="0" autoFill="0" autoLine="0" autoPict="0" altText="Sides">
                <anchor moveWithCells="1" sizeWithCells="1">
                  <from>
                    <xdr:col>20</xdr:col>
                    <xdr:colOff>161925</xdr:colOff>
                    <xdr:row>11</xdr:row>
                    <xdr:rowOff>28575</xdr:rowOff>
                  </from>
                  <to>
                    <xdr:col>20</xdr:col>
                    <xdr:colOff>295275</xdr:colOff>
                    <xdr:row>11</xdr:row>
                    <xdr:rowOff>180975</xdr:rowOff>
                  </to>
                </anchor>
              </controlPr>
            </control>
          </mc:Choice>
        </mc:AlternateContent>
        <mc:AlternateContent xmlns:mc="http://schemas.openxmlformats.org/markup-compatibility/2006">
          <mc:Choice Requires="x14">
            <control shapeId="52371" r:id="rId130" name="LeftSide">
              <controlPr locked="0" defaultSize="0" autoFill="0" autoLine="0" autoPict="0" altText="Sides">
                <anchor moveWithCells="1" sizeWithCells="1">
                  <from>
                    <xdr:col>20</xdr:col>
                    <xdr:colOff>323850</xdr:colOff>
                    <xdr:row>12</xdr:row>
                    <xdr:rowOff>28575</xdr:rowOff>
                  </from>
                  <to>
                    <xdr:col>20</xdr:col>
                    <xdr:colOff>457200</xdr:colOff>
                    <xdr:row>12</xdr:row>
                    <xdr:rowOff>180975</xdr:rowOff>
                  </to>
                </anchor>
              </controlPr>
            </control>
          </mc:Choice>
        </mc:AlternateContent>
        <mc:AlternateContent xmlns:mc="http://schemas.openxmlformats.org/markup-compatibility/2006">
          <mc:Choice Requires="x14">
            <control shapeId="52372" r:id="rId131" name="RightSide">
              <controlPr defaultSize="0" autoFill="0" autoLine="0" autoPict="0" altText="Sides">
                <anchor moveWithCells="1" sizeWithCells="1">
                  <from>
                    <xdr:col>20</xdr:col>
                    <xdr:colOff>485775</xdr:colOff>
                    <xdr:row>12</xdr:row>
                    <xdr:rowOff>28575</xdr:rowOff>
                  </from>
                  <to>
                    <xdr:col>20</xdr:col>
                    <xdr:colOff>619125</xdr:colOff>
                    <xdr:row>12</xdr:row>
                    <xdr:rowOff>180975</xdr:rowOff>
                  </to>
                </anchor>
              </controlPr>
            </control>
          </mc:Choice>
        </mc:AlternateContent>
        <mc:AlternateContent xmlns:mc="http://schemas.openxmlformats.org/markup-compatibility/2006">
          <mc:Choice Requires="x14">
            <control shapeId="52373" r:id="rId132" name="TopSide">
              <controlPr defaultSize="0" autoFill="0" autoLine="0" autoPict="0" altText="Sides">
                <anchor moveWithCells="1" sizeWithCells="1">
                  <from>
                    <xdr:col>20</xdr:col>
                    <xdr:colOff>0</xdr:colOff>
                    <xdr:row>12</xdr:row>
                    <xdr:rowOff>28575</xdr:rowOff>
                  </from>
                  <to>
                    <xdr:col>20</xdr:col>
                    <xdr:colOff>133350</xdr:colOff>
                    <xdr:row>12</xdr:row>
                    <xdr:rowOff>180975</xdr:rowOff>
                  </to>
                </anchor>
              </controlPr>
            </control>
          </mc:Choice>
        </mc:AlternateContent>
        <mc:AlternateContent xmlns:mc="http://schemas.openxmlformats.org/markup-compatibility/2006">
          <mc:Choice Requires="x14">
            <control shapeId="52374" r:id="rId133" name="BottomSide">
              <controlPr defaultSize="0" autoFill="0" autoLine="0" autoPict="0" altText="Sides">
                <anchor moveWithCells="1" sizeWithCells="1">
                  <from>
                    <xdr:col>20</xdr:col>
                    <xdr:colOff>161925</xdr:colOff>
                    <xdr:row>12</xdr:row>
                    <xdr:rowOff>28575</xdr:rowOff>
                  </from>
                  <to>
                    <xdr:col>20</xdr:col>
                    <xdr:colOff>295275</xdr:colOff>
                    <xdr:row>12</xdr:row>
                    <xdr:rowOff>180975</xdr:rowOff>
                  </to>
                </anchor>
              </controlPr>
            </control>
          </mc:Choice>
        </mc:AlternateContent>
        <mc:AlternateContent xmlns:mc="http://schemas.openxmlformats.org/markup-compatibility/2006">
          <mc:Choice Requires="x14">
            <control shapeId="52375" r:id="rId134" name="LeftSide">
              <controlPr locked="0" defaultSize="0" autoFill="0" autoLine="0" autoPict="0" altText="Sides">
                <anchor moveWithCells="1" sizeWithCells="1">
                  <from>
                    <xdr:col>20</xdr:col>
                    <xdr:colOff>323850</xdr:colOff>
                    <xdr:row>13</xdr:row>
                    <xdr:rowOff>28575</xdr:rowOff>
                  </from>
                  <to>
                    <xdr:col>20</xdr:col>
                    <xdr:colOff>457200</xdr:colOff>
                    <xdr:row>13</xdr:row>
                    <xdr:rowOff>180975</xdr:rowOff>
                  </to>
                </anchor>
              </controlPr>
            </control>
          </mc:Choice>
        </mc:AlternateContent>
        <mc:AlternateContent xmlns:mc="http://schemas.openxmlformats.org/markup-compatibility/2006">
          <mc:Choice Requires="x14">
            <control shapeId="52376" r:id="rId135" name="RightSide">
              <controlPr defaultSize="0" autoFill="0" autoLine="0" autoPict="0" altText="Sides">
                <anchor moveWithCells="1" sizeWithCells="1">
                  <from>
                    <xdr:col>20</xdr:col>
                    <xdr:colOff>485775</xdr:colOff>
                    <xdr:row>13</xdr:row>
                    <xdr:rowOff>28575</xdr:rowOff>
                  </from>
                  <to>
                    <xdr:col>20</xdr:col>
                    <xdr:colOff>619125</xdr:colOff>
                    <xdr:row>13</xdr:row>
                    <xdr:rowOff>180975</xdr:rowOff>
                  </to>
                </anchor>
              </controlPr>
            </control>
          </mc:Choice>
        </mc:AlternateContent>
        <mc:AlternateContent xmlns:mc="http://schemas.openxmlformats.org/markup-compatibility/2006">
          <mc:Choice Requires="x14">
            <control shapeId="52377" r:id="rId136" name="TopSide">
              <controlPr defaultSize="0" autoFill="0" autoLine="0" autoPict="0" altText="Sides">
                <anchor moveWithCells="1" sizeWithCells="1">
                  <from>
                    <xdr:col>20</xdr:col>
                    <xdr:colOff>0</xdr:colOff>
                    <xdr:row>13</xdr:row>
                    <xdr:rowOff>28575</xdr:rowOff>
                  </from>
                  <to>
                    <xdr:col>20</xdr:col>
                    <xdr:colOff>133350</xdr:colOff>
                    <xdr:row>13</xdr:row>
                    <xdr:rowOff>180975</xdr:rowOff>
                  </to>
                </anchor>
              </controlPr>
            </control>
          </mc:Choice>
        </mc:AlternateContent>
        <mc:AlternateContent xmlns:mc="http://schemas.openxmlformats.org/markup-compatibility/2006">
          <mc:Choice Requires="x14">
            <control shapeId="52378" r:id="rId137" name="BottomSide">
              <controlPr defaultSize="0" autoFill="0" autoLine="0" autoPict="0" altText="Sides">
                <anchor moveWithCells="1" sizeWithCells="1">
                  <from>
                    <xdr:col>20</xdr:col>
                    <xdr:colOff>161925</xdr:colOff>
                    <xdr:row>13</xdr:row>
                    <xdr:rowOff>28575</xdr:rowOff>
                  </from>
                  <to>
                    <xdr:col>20</xdr:col>
                    <xdr:colOff>295275</xdr:colOff>
                    <xdr:row>13</xdr:row>
                    <xdr:rowOff>180975</xdr:rowOff>
                  </to>
                </anchor>
              </controlPr>
            </control>
          </mc:Choice>
        </mc:AlternateContent>
        <mc:AlternateContent xmlns:mc="http://schemas.openxmlformats.org/markup-compatibility/2006">
          <mc:Choice Requires="x14">
            <control shapeId="52379" r:id="rId138" name="LeftSide">
              <controlPr locked="0" defaultSize="0" autoFill="0" autoLine="0" autoPict="0" altText="Sides">
                <anchor moveWithCells="1" sizeWithCells="1">
                  <from>
                    <xdr:col>20</xdr:col>
                    <xdr:colOff>323850</xdr:colOff>
                    <xdr:row>14</xdr:row>
                    <xdr:rowOff>28575</xdr:rowOff>
                  </from>
                  <to>
                    <xdr:col>20</xdr:col>
                    <xdr:colOff>457200</xdr:colOff>
                    <xdr:row>14</xdr:row>
                    <xdr:rowOff>180975</xdr:rowOff>
                  </to>
                </anchor>
              </controlPr>
            </control>
          </mc:Choice>
        </mc:AlternateContent>
        <mc:AlternateContent xmlns:mc="http://schemas.openxmlformats.org/markup-compatibility/2006">
          <mc:Choice Requires="x14">
            <control shapeId="52380" r:id="rId139" name="RightSide">
              <controlPr defaultSize="0" autoFill="0" autoLine="0" autoPict="0" altText="Sides">
                <anchor moveWithCells="1" sizeWithCells="1">
                  <from>
                    <xdr:col>20</xdr:col>
                    <xdr:colOff>485775</xdr:colOff>
                    <xdr:row>14</xdr:row>
                    <xdr:rowOff>28575</xdr:rowOff>
                  </from>
                  <to>
                    <xdr:col>20</xdr:col>
                    <xdr:colOff>619125</xdr:colOff>
                    <xdr:row>14</xdr:row>
                    <xdr:rowOff>180975</xdr:rowOff>
                  </to>
                </anchor>
              </controlPr>
            </control>
          </mc:Choice>
        </mc:AlternateContent>
        <mc:AlternateContent xmlns:mc="http://schemas.openxmlformats.org/markup-compatibility/2006">
          <mc:Choice Requires="x14">
            <control shapeId="52381" r:id="rId140" name="TopSide">
              <controlPr defaultSize="0" autoFill="0" autoLine="0" autoPict="0" altText="Sides">
                <anchor moveWithCells="1" sizeWithCells="1">
                  <from>
                    <xdr:col>20</xdr:col>
                    <xdr:colOff>0</xdr:colOff>
                    <xdr:row>14</xdr:row>
                    <xdr:rowOff>28575</xdr:rowOff>
                  </from>
                  <to>
                    <xdr:col>20</xdr:col>
                    <xdr:colOff>133350</xdr:colOff>
                    <xdr:row>14</xdr:row>
                    <xdr:rowOff>180975</xdr:rowOff>
                  </to>
                </anchor>
              </controlPr>
            </control>
          </mc:Choice>
        </mc:AlternateContent>
        <mc:AlternateContent xmlns:mc="http://schemas.openxmlformats.org/markup-compatibility/2006">
          <mc:Choice Requires="x14">
            <control shapeId="52382" r:id="rId141" name="BottomSide">
              <controlPr defaultSize="0" autoFill="0" autoLine="0" autoPict="0" altText="Sides">
                <anchor moveWithCells="1" sizeWithCells="1">
                  <from>
                    <xdr:col>20</xdr:col>
                    <xdr:colOff>161925</xdr:colOff>
                    <xdr:row>14</xdr:row>
                    <xdr:rowOff>28575</xdr:rowOff>
                  </from>
                  <to>
                    <xdr:col>20</xdr:col>
                    <xdr:colOff>295275</xdr:colOff>
                    <xdr:row>14</xdr:row>
                    <xdr:rowOff>180975</xdr:rowOff>
                  </to>
                </anchor>
              </controlPr>
            </control>
          </mc:Choice>
        </mc:AlternateContent>
        <mc:AlternateContent xmlns:mc="http://schemas.openxmlformats.org/markup-compatibility/2006">
          <mc:Choice Requires="x14">
            <control shapeId="52383" r:id="rId142" name="LeftSide">
              <controlPr locked="0" defaultSize="0" autoFill="0" autoLine="0" autoPict="0" altText="Sides">
                <anchor moveWithCells="1" sizeWithCells="1">
                  <from>
                    <xdr:col>20</xdr:col>
                    <xdr:colOff>323850</xdr:colOff>
                    <xdr:row>15</xdr:row>
                    <xdr:rowOff>38100</xdr:rowOff>
                  </from>
                  <to>
                    <xdr:col>20</xdr:col>
                    <xdr:colOff>457200</xdr:colOff>
                    <xdr:row>15</xdr:row>
                    <xdr:rowOff>180975</xdr:rowOff>
                  </to>
                </anchor>
              </controlPr>
            </control>
          </mc:Choice>
        </mc:AlternateContent>
        <mc:AlternateContent xmlns:mc="http://schemas.openxmlformats.org/markup-compatibility/2006">
          <mc:Choice Requires="x14">
            <control shapeId="52384" r:id="rId143" name="RightSide">
              <controlPr defaultSize="0" autoFill="0" autoLine="0" autoPict="0" altText="Sides">
                <anchor moveWithCells="1" sizeWithCells="1">
                  <from>
                    <xdr:col>20</xdr:col>
                    <xdr:colOff>485775</xdr:colOff>
                    <xdr:row>15</xdr:row>
                    <xdr:rowOff>38100</xdr:rowOff>
                  </from>
                  <to>
                    <xdr:col>20</xdr:col>
                    <xdr:colOff>619125</xdr:colOff>
                    <xdr:row>15</xdr:row>
                    <xdr:rowOff>180975</xdr:rowOff>
                  </to>
                </anchor>
              </controlPr>
            </control>
          </mc:Choice>
        </mc:AlternateContent>
        <mc:AlternateContent xmlns:mc="http://schemas.openxmlformats.org/markup-compatibility/2006">
          <mc:Choice Requires="x14">
            <control shapeId="52385" r:id="rId144" name="TopSide">
              <controlPr defaultSize="0" autoFill="0" autoLine="0" autoPict="0" altText="Sides">
                <anchor moveWithCells="1" sizeWithCells="1">
                  <from>
                    <xdr:col>20</xdr:col>
                    <xdr:colOff>0</xdr:colOff>
                    <xdr:row>15</xdr:row>
                    <xdr:rowOff>38100</xdr:rowOff>
                  </from>
                  <to>
                    <xdr:col>20</xdr:col>
                    <xdr:colOff>133350</xdr:colOff>
                    <xdr:row>15</xdr:row>
                    <xdr:rowOff>180975</xdr:rowOff>
                  </to>
                </anchor>
              </controlPr>
            </control>
          </mc:Choice>
        </mc:AlternateContent>
        <mc:AlternateContent xmlns:mc="http://schemas.openxmlformats.org/markup-compatibility/2006">
          <mc:Choice Requires="x14">
            <control shapeId="52386" r:id="rId145" name="BottomSide">
              <controlPr defaultSize="0" autoFill="0" autoLine="0" autoPict="0" altText="Sides">
                <anchor moveWithCells="1" sizeWithCells="1">
                  <from>
                    <xdr:col>20</xdr:col>
                    <xdr:colOff>161925</xdr:colOff>
                    <xdr:row>15</xdr:row>
                    <xdr:rowOff>38100</xdr:rowOff>
                  </from>
                  <to>
                    <xdr:col>20</xdr:col>
                    <xdr:colOff>295275</xdr:colOff>
                    <xdr:row>15</xdr:row>
                    <xdr:rowOff>180975</xdr:rowOff>
                  </to>
                </anchor>
              </controlPr>
            </control>
          </mc:Choice>
        </mc:AlternateContent>
        <mc:AlternateContent xmlns:mc="http://schemas.openxmlformats.org/markup-compatibility/2006">
          <mc:Choice Requires="x14">
            <control shapeId="52387" r:id="rId146" name="LeftSide">
              <controlPr locked="0" defaultSize="0" autoFill="0" autoLine="0" autoPict="0" altText="Sides">
                <anchor moveWithCells="1" sizeWithCells="1">
                  <from>
                    <xdr:col>20</xdr:col>
                    <xdr:colOff>323850</xdr:colOff>
                    <xdr:row>16</xdr:row>
                    <xdr:rowOff>38100</xdr:rowOff>
                  </from>
                  <to>
                    <xdr:col>20</xdr:col>
                    <xdr:colOff>457200</xdr:colOff>
                    <xdr:row>16</xdr:row>
                    <xdr:rowOff>180975</xdr:rowOff>
                  </to>
                </anchor>
              </controlPr>
            </control>
          </mc:Choice>
        </mc:AlternateContent>
        <mc:AlternateContent xmlns:mc="http://schemas.openxmlformats.org/markup-compatibility/2006">
          <mc:Choice Requires="x14">
            <control shapeId="52388" r:id="rId147" name="RightSide">
              <controlPr defaultSize="0" autoFill="0" autoLine="0" autoPict="0" altText="Sides">
                <anchor moveWithCells="1" sizeWithCells="1">
                  <from>
                    <xdr:col>20</xdr:col>
                    <xdr:colOff>485775</xdr:colOff>
                    <xdr:row>16</xdr:row>
                    <xdr:rowOff>38100</xdr:rowOff>
                  </from>
                  <to>
                    <xdr:col>20</xdr:col>
                    <xdr:colOff>619125</xdr:colOff>
                    <xdr:row>16</xdr:row>
                    <xdr:rowOff>180975</xdr:rowOff>
                  </to>
                </anchor>
              </controlPr>
            </control>
          </mc:Choice>
        </mc:AlternateContent>
        <mc:AlternateContent xmlns:mc="http://schemas.openxmlformats.org/markup-compatibility/2006">
          <mc:Choice Requires="x14">
            <control shapeId="52389" r:id="rId148" name="TopSide">
              <controlPr defaultSize="0" autoFill="0" autoLine="0" autoPict="0" altText="Sides">
                <anchor moveWithCells="1" sizeWithCells="1">
                  <from>
                    <xdr:col>20</xdr:col>
                    <xdr:colOff>0</xdr:colOff>
                    <xdr:row>16</xdr:row>
                    <xdr:rowOff>38100</xdr:rowOff>
                  </from>
                  <to>
                    <xdr:col>20</xdr:col>
                    <xdr:colOff>133350</xdr:colOff>
                    <xdr:row>16</xdr:row>
                    <xdr:rowOff>180975</xdr:rowOff>
                  </to>
                </anchor>
              </controlPr>
            </control>
          </mc:Choice>
        </mc:AlternateContent>
        <mc:AlternateContent xmlns:mc="http://schemas.openxmlformats.org/markup-compatibility/2006">
          <mc:Choice Requires="x14">
            <control shapeId="52390" r:id="rId149" name="BottomSide">
              <controlPr defaultSize="0" autoFill="0" autoLine="0" autoPict="0" altText="Sides">
                <anchor moveWithCells="1" sizeWithCells="1">
                  <from>
                    <xdr:col>20</xdr:col>
                    <xdr:colOff>161925</xdr:colOff>
                    <xdr:row>16</xdr:row>
                    <xdr:rowOff>38100</xdr:rowOff>
                  </from>
                  <to>
                    <xdr:col>20</xdr:col>
                    <xdr:colOff>295275</xdr:colOff>
                    <xdr:row>16</xdr:row>
                    <xdr:rowOff>180975</xdr:rowOff>
                  </to>
                </anchor>
              </controlPr>
            </control>
          </mc:Choice>
        </mc:AlternateContent>
        <mc:AlternateContent xmlns:mc="http://schemas.openxmlformats.org/markup-compatibility/2006">
          <mc:Choice Requires="x14">
            <control shapeId="52391" r:id="rId150" name="LeftSide">
              <controlPr locked="0" defaultSize="0" autoFill="0" autoLine="0" autoPict="0" altText="Sides">
                <anchor moveWithCells="1" sizeWithCells="1">
                  <from>
                    <xdr:col>20</xdr:col>
                    <xdr:colOff>323850</xdr:colOff>
                    <xdr:row>17</xdr:row>
                    <xdr:rowOff>38100</xdr:rowOff>
                  </from>
                  <to>
                    <xdr:col>20</xdr:col>
                    <xdr:colOff>457200</xdr:colOff>
                    <xdr:row>17</xdr:row>
                    <xdr:rowOff>190500</xdr:rowOff>
                  </to>
                </anchor>
              </controlPr>
            </control>
          </mc:Choice>
        </mc:AlternateContent>
        <mc:AlternateContent xmlns:mc="http://schemas.openxmlformats.org/markup-compatibility/2006">
          <mc:Choice Requires="x14">
            <control shapeId="52392" r:id="rId151" name="RightSide">
              <controlPr defaultSize="0" autoFill="0" autoLine="0" autoPict="0" altText="Sides">
                <anchor moveWithCells="1" sizeWithCells="1">
                  <from>
                    <xdr:col>20</xdr:col>
                    <xdr:colOff>485775</xdr:colOff>
                    <xdr:row>17</xdr:row>
                    <xdr:rowOff>38100</xdr:rowOff>
                  </from>
                  <to>
                    <xdr:col>20</xdr:col>
                    <xdr:colOff>619125</xdr:colOff>
                    <xdr:row>17</xdr:row>
                    <xdr:rowOff>190500</xdr:rowOff>
                  </to>
                </anchor>
              </controlPr>
            </control>
          </mc:Choice>
        </mc:AlternateContent>
        <mc:AlternateContent xmlns:mc="http://schemas.openxmlformats.org/markup-compatibility/2006">
          <mc:Choice Requires="x14">
            <control shapeId="52393" r:id="rId152" name="TopSide">
              <controlPr defaultSize="0" autoFill="0" autoLine="0" autoPict="0" altText="Sides">
                <anchor moveWithCells="1" sizeWithCells="1">
                  <from>
                    <xdr:col>20</xdr:col>
                    <xdr:colOff>0</xdr:colOff>
                    <xdr:row>17</xdr:row>
                    <xdr:rowOff>38100</xdr:rowOff>
                  </from>
                  <to>
                    <xdr:col>20</xdr:col>
                    <xdr:colOff>133350</xdr:colOff>
                    <xdr:row>17</xdr:row>
                    <xdr:rowOff>190500</xdr:rowOff>
                  </to>
                </anchor>
              </controlPr>
            </control>
          </mc:Choice>
        </mc:AlternateContent>
        <mc:AlternateContent xmlns:mc="http://schemas.openxmlformats.org/markup-compatibility/2006">
          <mc:Choice Requires="x14">
            <control shapeId="52394" r:id="rId153" name="BottomSide">
              <controlPr defaultSize="0" autoFill="0" autoLine="0" autoPict="0" altText="Sides">
                <anchor moveWithCells="1" sizeWithCells="1">
                  <from>
                    <xdr:col>20</xdr:col>
                    <xdr:colOff>161925</xdr:colOff>
                    <xdr:row>17</xdr:row>
                    <xdr:rowOff>38100</xdr:rowOff>
                  </from>
                  <to>
                    <xdr:col>20</xdr:col>
                    <xdr:colOff>295275</xdr:colOff>
                    <xdr:row>17</xdr:row>
                    <xdr:rowOff>190500</xdr:rowOff>
                  </to>
                </anchor>
              </controlPr>
            </control>
          </mc:Choice>
        </mc:AlternateContent>
        <mc:AlternateContent xmlns:mc="http://schemas.openxmlformats.org/markup-compatibility/2006">
          <mc:Choice Requires="x14">
            <control shapeId="52395" r:id="rId154" name="LeftSide">
              <controlPr locked="0" defaultSize="0" autoFill="0" autoLine="0" autoPict="0" altText="Sides">
                <anchor moveWithCells="1" sizeWithCells="1">
                  <from>
                    <xdr:col>20</xdr:col>
                    <xdr:colOff>323850</xdr:colOff>
                    <xdr:row>18</xdr:row>
                    <xdr:rowOff>38100</xdr:rowOff>
                  </from>
                  <to>
                    <xdr:col>20</xdr:col>
                    <xdr:colOff>457200</xdr:colOff>
                    <xdr:row>18</xdr:row>
                    <xdr:rowOff>190500</xdr:rowOff>
                  </to>
                </anchor>
              </controlPr>
            </control>
          </mc:Choice>
        </mc:AlternateContent>
        <mc:AlternateContent xmlns:mc="http://schemas.openxmlformats.org/markup-compatibility/2006">
          <mc:Choice Requires="x14">
            <control shapeId="52396" r:id="rId155" name="RightSide">
              <controlPr defaultSize="0" autoFill="0" autoLine="0" autoPict="0" altText="Sides">
                <anchor moveWithCells="1" sizeWithCells="1">
                  <from>
                    <xdr:col>20</xdr:col>
                    <xdr:colOff>485775</xdr:colOff>
                    <xdr:row>18</xdr:row>
                    <xdr:rowOff>38100</xdr:rowOff>
                  </from>
                  <to>
                    <xdr:col>20</xdr:col>
                    <xdr:colOff>619125</xdr:colOff>
                    <xdr:row>18</xdr:row>
                    <xdr:rowOff>190500</xdr:rowOff>
                  </to>
                </anchor>
              </controlPr>
            </control>
          </mc:Choice>
        </mc:AlternateContent>
        <mc:AlternateContent xmlns:mc="http://schemas.openxmlformats.org/markup-compatibility/2006">
          <mc:Choice Requires="x14">
            <control shapeId="52397" r:id="rId156" name="TopSide">
              <controlPr defaultSize="0" autoFill="0" autoLine="0" autoPict="0" altText="Sides">
                <anchor moveWithCells="1" sizeWithCells="1">
                  <from>
                    <xdr:col>20</xdr:col>
                    <xdr:colOff>0</xdr:colOff>
                    <xdr:row>18</xdr:row>
                    <xdr:rowOff>38100</xdr:rowOff>
                  </from>
                  <to>
                    <xdr:col>20</xdr:col>
                    <xdr:colOff>133350</xdr:colOff>
                    <xdr:row>18</xdr:row>
                    <xdr:rowOff>190500</xdr:rowOff>
                  </to>
                </anchor>
              </controlPr>
            </control>
          </mc:Choice>
        </mc:AlternateContent>
        <mc:AlternateContent xmlns:mc="http://schemas.openxmlformats.org/markup-compatibility/2006">
          <mc:Choice Requires="x14">
            <control shapeId="52398" r:id="rId157" name="BottomSide">
              <controlPr defaultSize="0" autoFill="0" autoLine="0" autoPict="0" altText="Sides">
                <anchor moveWithCells="1" sizeWithCells="1">
                  <from>
                    <xdr:col>20</xdr:col>
                    <xdr:colOff>161925</xdr:colOff>
                    <xdr:row>18</xdr:row>
                    <xdr:rowOff>38100</xdr:rowOff>
                  </from>
                  <to>
                    <xdr:col>20</xdr:col>
                    <xdr:colOff>295275</xdr:colOff>
                    <xdr:row>18</xdr:row>
                    <xdr:rowOff>190500</xdr:rowOff>
                  </to>
                </anchor>
              </controlPr>
            </control>
          </mc:Choice>
        </mc:AlternateContent>
        <mc:AlternateContent xmlns:mc="http://schemas.openxmlformats.org/markup-compatibility/2006">
          <mc:Choice Requires="x14">
            <control shapeId="52399" r:id="rId158" name="LeftSide">
              <controlPr locked="0" defaultSize="0" autoFill="0" autoLine="0" autoPict="0" altText="Sides">
                <anchor moveWithCells="1" sizeWithCells="1">
                  <from>
                    <xdr:col>20</xdr:col>
                    <xdr:colOff>323850</xdr:colOff>
                    <xdr:row>19</xdr:row>
                    <xdr:rowOff>38100</xdr:rowOff>
                  </from>
                  <to>
                    <xdr:col>20</xdr:col>
                    <xdr:colOff>457200</xdr:colOff>
                    <xdr:row>19</xdr:row>
                    <xdr:rowOff>190500</xdr:rowOff>
                  </to>
                </anchor>
              </controlPr>
            </control>
          </mc:Choice>
        </mc:AlternateContent>
        <mc:AlternateContent xmlns:mc="http://schemas.openxmlformats.org/markup-compatibility/2006">
          <mc:Choice Requires="x14">
            <control shapeId="52400" r:id="rId159" name="RightSide">
              <controlPr defaultSize="0" autoFill="0" autoLine="0" autoPict="0" altText="Sides">
                <anchor moveWithCells="1" sizeWithCells="1">
                  <from>
                    <xdr:col>20</xdr:col>
                    <xdr:colOff>485775</xdr:colOff>
                    <xdr:row>19</xdr:row>
                    <xdr:rowOff>38100</xdr:rowOff>
                  </from>
                  <to>
                    <xdr:col>20</xdr:col>
                    <xdr:colOff>619125</xdr:colOff>
                    <xdr:row>19</xdr:row>
                    <xdr:rowOff>190500</xdr:rowOff>
                  </to>
                </anchor>
              </controlPr>
            </control>
          </mc:Choice>
        </mc:AlternateContent>
        <mc:AlternateContent xmlns:mc="http://schemas.openxmlformats.org/markup-compatibility/2006">
          <mc:Choice Requires="x14">
            <control shapeId="52401" r:id="rId160" name="TopSide">
              <controlPr defaultSize="0" autoFill="0" autoLine="0" autoPict="0" altText="Sides">
                <anchor moveWithCells="1" sizeWithCells="1">
                  <from>
                    <xdr:col>20</xdr:col>
                    <xdr:colOff>0</xdr:colOff>
                    <xdr:row>19</xdr:row>
                    <xdr:rowOff>38100</xdr:rowOff>
                  </from>
                  <to>
                    <xdr:col>20</xdr:col>
                    <xdr:colOff>133350</xdr:colOff>
                    <xdr:row>19</xdr:row>
                    <xdr:rowOff>190500</xdr:rowOff>
                  </to>
                </anchor>
              </controlPr>
            </control>
          </mc:Choice>
        </mc:AlternateContent>
        <mc:AlternateContent xmlns:mc="http://schemas.openxmlformats.org/markup-compatibility/2006">
          <mc:Choice Requires="x14">
            <control shapeId="52402" r:id="rId161" name="BottomSide">
              <controlPr defaultSize="0" autoFill="0" autoLine="0" autoPict="0" altText="Sides">
                <anchor moveWithCells="1" sizeWithCells="1">
                  <from>
                    <xdr:col>20</xdr:col>
                    <xdr:colOff>161925</xdr:colOff>
                    <xdr:row>19</xdr:row>
                    <xdr:rowOff>38100</xdr:rowOff>
                  </from>
                  <to>
                    <xdr:col>20</xdr:col>
                    <xdr:colOff>295275</xdr:colOff>
                    <xdr:row>19</xdr:row>
                    <xdr:rowOff>190500</xdr:rowOff>
                  </to>
                </anchor>
              </controlPr>
            </control>
          </mc:Choice>
        </mc:AlternateContent>
        <mc:AlternateContent xmlns:mc="http://schemas.openxmlformats.org/markup-compatibility/2006">
          <mc:Choice Requires="x14">
            <control shapeId="52403" r:id="rId162" name="LeftSide">
              <controlPr locked="0" defaultSize="0" autoFill="0" autoLine="0" autoPict="0" altText="Sides">
                <anchor moveWithCells="1" sizeWithCells="1">
                  <from>
                    <xdr:col>20</xdr:col>
                    <xdr:colOff>323850</xdr:colOff>
                    <xdr:row>20</xdr:row>
                    <xdr:rowOff>38100</xdr:rowOff>
                  </from>
                  <to>
                    <xdr:col>20</xdr:col>
                    <xdr:colOff>457200</xdr:colOff>
                    <xdr:row>20</xdr:row>
                    <xdr:rowOff>190500</xdr:rowOff>
                  </to>
                </anchor>
              </controlPr>
            </control>
          </mc:Choice>
        </mc:AlternateContent>
        <mc:AlternateContent xmlns:mc="http://schemas.openxmlformats.org/markup-compatibility/2006">
          <mc:Choice Requires="x14">
            <control shapeId="52404" r:id="rId163" name="RightSide">
              <controlPr defaultSize="0" autoFill="0" autoLine="0" autoPict="0" altText="Sides">
                <anchor moveWithCells="1" sizeWithCells="1">
                  <from>
                    <xdr:col>20</xdr:col>
                    <xdr:colOff>485775</xdr:colOff>
                    <xdr:row>20</xdr:row>
                    <xdr:rowOff>38100</xdr:rowOff>
                  </from>
                  <to>
                    <xdr:col>20</xdr:col>
                    <xdr:colOff>619125</xdr:colOff>
                    <xdr:row>20</xdr:row>
                    <xdr:rowOff>190500</xdr:rowOff>
                  </to>
                </anchor>
              </controlPr>
            </control>
          </mc:Choice>
        </mc:AlternateContent>
        <mc:AlternateContent xmlns:mc="http://schemas.openxmlformats.org/markup-compatibility/2006">
          <mc:Choice Requires="x14">
            <control shapeId="52405" r:id="rId164" name="TopSide">
              <controlPr defaultSize="0" autoFill="0" autoLine="0" autoPict="0" altText="Sides">
                <anchor moveWithCells="1" sizeWithCells="1">
                  <from>
                    <xdr:col>20</xdr:col>
                    <xdr:colOff>0</xdr:colOff>
                    <xdr:row>20</xdr:row>
                    <xdr:rowOff>38100</xdr:rowOff>
                  </from>
                  <to>
                    <xdr:col>20</xdr:col>
                    <xdr:colOff>133350</xdr:colOff>
                    <xdr:row>20</xdr:row>
                    <xdr:rowOff>190500</xdr:rowOff>
                  </to>
                </anchor>
              </controlPr>
            </control>
          </mc:Choice>
        </mc:AlternateContent>
        <mc:AlternateContent xmlns:mc="http://schemas.openxmlformats.org/markup-compatibility/2006">
          <mc:Choice Requires="x14">
            <control shapeId="52406" r:id="rId165" name="BottomSide">
              <controlPr defaultSize="0" autoFill="0" autoLine="0" autoPict="0" altText="Sides">
                <anchor moveWithCells="1" sizeWithCells="1">
                  <from>
                    <xdr:col>20</xdr:col>
                    <xdr:colOff>161925</xdr:colOff>
                    <xdr:row>20</xdr:row>
                    <xdr:rowOff>38100</xdr:rowOff>
                  </from>
                  <to>
                    <xdr:col>20</xdr:col>
                    <xdr:colOff>295275</xdr:colOff>
                    <xdr:row>20</xdr:row>
                    <xdr:rowOff>190500</xdr:rowOff>
                  </to>
                </anchor>
              </controlPr>
            </control>
          </mc:Choice>
        </mc:AlternateContent>
        <mc:AlternateContent xmlns:mc="http://schemas.openxmlformats.org/markup-compatibility/2006">
          <mc:Choice Requires="x14">
            <control shapeId="52407" r:id="rId166" name="LeftSide">
              <controlPr locked="0" defaultSize="0" autoFill="0" autoLine="0" autoPict="0" altText="Sides">
                <anchor moveWithCells="1" sizeWithCells="1">
                  <from>
                    <xdr:col>20</xdr:col>
                    <xdr:colOff>323850</xdr:colOff>
                    <xdr:row>21</xdr:row>
                    <xdr:rowOff>38100</xdr:rowOff>
                  </from>
                  <to>
                    <xdr:col>20</xdr:col>
                    <xdr:colOff>457200</xdr:colOff>
                    <xdr:row>21</xdr:row>
                    <xdr:rowOff>190500</xdr:rowOff>
                  </to>
                </anchor>
              </controlPr>
            </control>
          </mc:Choice>
        </mc:AlternateContent>
        <mc:AlternateContent xmlns:mc="http://schemas.openxmlformats.org/markup-compatibility/2006">
          <mc:Choice Requires="x14">
            <control shapeId="52408" r:id="rId167" name="RightSide">
              <controlPr defaultSize="0" autoFill="0" autoLine="0" autoPict="0" altText="Sides">
                <anchor moveWithCells="1" sizeWithCells="1">
                  <from>
                    <xdr:col>20</xdr:col>
                    <xdr:colOff>485775</xdr:colOff>
                    <xdr:row>21</xdr:row>
                    <xdr:rowOff>38100</xdr:rowOff>
                  </from>
                  <to>
                    <xdr:col>20</xdr:col>
                    <xdr:colOff>619125</xdr:colOff>
                    <xdr:row>21</xdr:row>
                    <xdr:rowOff>190500</xdr:rowOff>
                  </to>
                </anchor>
              </controlPr>
            </control>
          </mc:Choice>
        </mc:AlternateContent>
        <mc:AlternateContent xmlns:mc="http://schemas.openxmlformats.org/markup-compatibility/2006">
          <mc:Choice Requires="x14">
            <control shapeId="52409" r:id="rId168" name="TopSide">
              <controlPr defaultSize="0" autoFill="0" autoLine="0" autoPict="0" altText="Sides">
                <anchor moveWithCells="1" sizeWithCells="1">
                  <from>
                    <xdr:col>20</xdr:col>
                    <xdr:colOff>0</xdr:colOff>
                    <xdr:row>21</xdr:row>
                    <xdr:rowOff>38100</xdr:rowOff>
                  </from>
                  <to>
                    <xdr:col>20</xdr:col>
                    <xdr:colOff>133350</xdr:colOff>
                    <xdr:row>21</xdr:row>
                    <xdr:rowOff>190500</xdr:rowOff>
                  </to>
                </anchor>
              </controlPr>
            </control>
          </mc:Choice>
        </mc:AlternateContent>
        <mc:AlternateContent xmlns:mc="http://schemas.openxmlformats.org/markup-compatibility/2006">
          <mc:Choice Requires="x14">
            <control shapeId="52410" r:id="rId169" name="BottomSide">
              <controlPr defaultSize="0" autoFill="0" autoLine="0" autoPict="0" altText="Sides">
                <anchor moveWithCells="1" sizeWithCells="1">
                  <from>
                    <xdr:col>20</xdr:col>
                    <xdr:colOff>161925</xdr:colOff>
                    <xdr:row>21</xdr:row>
                    <xdr:rowOff>38100</xdr:rowOff>
                  </from>
                  <to>
                    <xdr:col>20</xdr:col>
                    <xdr:colOff>295275</xdr:colOff>
                    <xdr:row>21</xdr:row>
                    <xdr:rowOff>190500</xdr:rowOff>
                  </to>
                </anchor>
              </controlPr>
            </control>
          </mc:Choice>
        </mc:AlternateContent>
        <mc:AlternateContent xmlns:mc="http://schemas.openxmlformats.org/markup-compatibility/2006">
          <mc:Choice Requires="x14">
            <control shapeId="52411" r:id="rId170" name="LeftSide">
              <controlPr locked="0" defaultSize="0" autoFill="0" autoLine="0" autoPict="0" altText="Sides">
                <anchor moveWithCells="1" sizeWithCells="1">
                  <from>
                    <xdr:col>20</xdr:col>
                    <xdr:colOff>323850</xdr:colOff>
                    <xdr:row>22</xdr:row>
                    <xdr:rowOff>47625</xdr:rowOff>
                  </from>
                  <to>
                    <xdr:col>20</xdr:col>
                    <xdr:colOff>457200</xdr:colOff>
                    <xdr:row>22</xdr:row>
                    <xdr:rowOff>190500</xdr:rowOff>
                  </to>
                </anchor>
              </controlPr>
            </control>
          </mc:Choice>
        </mc:AlternateContent>
        <mc:AlternateContent xmlns:mc="http://schemas.openxmlformats.org/markup-compatibility/2006">
          <mc:Choice Requires="x14">
            <control shapeId="52412" r:id="rId171" name="RightSide">
              <controlPr defaultSize="0" autoFill="0" autoLine="0" autoPict="0" altText="Sides">
                <anchor moveWithCells="1" sizeWithCells="1">
                  <from>
                    <xdr:col>20</xdr:col>
                    <xdr:colOff>485775</xdr:colOff>
                    <xdr:row>22</xdr:row>
                    <xdr:rowOff>47625</xdr:rowOff>
                  </from>
                  <to>
                    <xdr:col>20</xdr:col>
                    <xdr:colOff>619125</xdr:colOff>
                    <xdr:row>22</xdr:row>
                    <xdr:rowOff>190500</xdr:rowOff>
                  </to>
                </anchor>
              </controlPr>
            </control>
          </mc:Choice>
        </mc:AlternateContent>
        <mc:AlternateContent xmlns:mc="http://schemas.openxmlformats.org/markup-compatibility/2006">
          <mc:Choice Requires="x14">
            <control shapeId="52413" r:id="rId172" name="TopSide">
              <controlPr defaultSize="0" autoFill="0" autoLine="0" autoPict="0" altText="Sides">
                <anchor moveWithCells="1" sizeWithCells="1">
                  <from>
                    <xdr:col>20</xdr:col>
                    <xdr:colOff>0</xdr:colOff>
                    <xdr:row>22</xdr:row>
                    <xdr:rowOff>47625</xdr:rowOff>
                  </from>
                  <to>
                    <xdr:col>20</xdr:col>
                    <xdr:colOff>133350</xdr:colOff>
                    <xdr:row>22</xdr:row>
                    <xdr:rowOff>190500</xdr:rowOff>
                  </to>
                </anchor>
              </controlPr>
            </control>
          </mc:Choice>
        </mc:AlternateContent>
        <mc:AlternateContent xmlns:mc="http://schemas.openxmlformats.org/markup-compatibility/2006">
          <mc:Choice Requires="x14">
            <control shapeId="52414" r:id="rId173" name="BottomSide">
              <controlPr defaultSize="0" autoFill="0" autoLine="0" autoPict="0" altText="Sides">
                <anchor moveWithCells="1" sizeWithCells="1">
                  <from>
                    <xdr:col>20</xdr:col>
                    <xdr:colOff>161925</xdr:colOff>
                    <xdr:row>22</xdr:row>
                    <xdr:rowOff>47625</xdr:rowOff>
                  </from>
                  <to>
                    <xdr:col>20</xdr:col>
                    <xdr:colOff>295275</xdr:colOff>
                    <xdr:row>22</xdr:row>
                    <xdr:rowOff>190500</xdr:rowOff>
                  </to>
                </anchor>
              </controlPr>
            </control>
          </mc:Choice>
        </mc:AlternateContent>
        <mc:AlternateContent xmlns:mc="http://schemas.openxmlformats.org/markup-compatibility/2006">
          <mc:Choice Requires="x14">
            <control shapeId="52415" r:id="rId174" name="LeftSide">
              <controlPr locked="0" defaultSize="0" autoFill="0" autoLine="0" autoPict="0" altText="Sides">
                <anchor moveWithCells="1" sizeWithCells="1">
                  <from>
                    <xdr:col>20</xdr:col>
                    <xdr:colOff>323850</xdr:colOff>
                    <xdr:row>23</xdr:row>
                    <xdr:rowOff>47625</xdr:rowOff>
                  </from>
                  <to>
                    <xdr:col>20</xdr:col>
                    <xdr:colOff>457200</xdr:colOff>
                    <xdr:row>23</xdr:row>
                    <xdr:rowOff>190500</xdr:rowOff>
                  </to>
                </anchor>
              </controlPr>
            </control>
          </mc:Choice>
        </mc:AlternateContent>
        <mc:AlternateContent xmlns:mc="http://schemas.openxmlformats.org/markup-compatibility/2006">
          <mc:Choice Requires="x14">
            <control shapeId="52416" r:id="rId175" name="RightSide">
              <controlPr defaultSize="0" autoFill="0" autoLine="0" autoPict="0" altText="Sides">
                <anchor moveWithCells="1" sizeWithCells="1">
                  <from>
                    <xdr:col>20</xdr:col>
                    <xdr:colOff>485775</xdr:colOff>
                    <xdr:row>23</xdr:row>
                    <xdr:rowOff>47625</xdr:rowOff>
                  </from>
                  <to>
                    <xdr:col>20</xdr:col>
                    <xdr:colOff>619125</xdr:colOff>
                    <xdr:row>23</xdr:row>
                    <xdr:rowOff>190500</xdr:rowOff>
                  </to>
                </anchor>
              </controlPr>
            </control>
          </mc:Choice>
        </mc:AlternateContent>
        <mc:AlternateContent xmlns:mc="http://schemas.openxmlformats.org/markup-compatibility/2006">
          <mc:Choice Requires="x14">
            <control shapeId="52417" r:id="rId176" name="TopSide">
              <controlPr defaultSize="0" autoFill="0" autoLine="0" autoPict="0" altText="Sides">
                <anchor moveWithCells="1" sizeWithCells="1">
                  <from>
                    <xdr:col>20</xdr:col>
                    <xdr:colOff>0</xdr:colOff>
                    <xdr:row>23</xdr:row>
                    <xdr:rowOff>47625</xdr:rowOff>
                  </from>
                  <to>
                    <xdr:col>20</xdr:col>
                    <xdr:colOff>133350</xdr:colOff>
                    <xdr:row>23</xdr:row>
                    <xdr:rowOff>190500</xdr:rowOff>
                  </to>
                </anchor>
              </controlPr>
            </control>
          </mc:Choice>
        </mc:AlternateContent>
        <mc:AlternateContent xmlns:mc="http://schemas.openxmlformats.org/markup-compatibility/2006">
          <mc:Choice Requires="x14">
            <control shapeId="52418" r:id="rId177" name="BottomSide">
              <controlPr defaultSize="0" autoFill="0" autoLine="0" autoPict="0" altText="Sides">
                <anchor moveWithCells="1" sizeWithCells="1">
                  <from>
                    <xdr:col>20</xdr:col>
                    <xdr:colOff>161925</xdr:colOff>
                    <xdr:row>23</xdr:row>
                    <xdr:rowOff>47625</xdr:rowOff>
                  </from>
                  <to>
                    <xdr:col>20</xdr:col>
                    <xdr:colOff>295275</xdr:colOff>
                    <xdr:row>23</xdr:row>
                    <xdr:rowOff>190500</xdr:rowOff>
                  </to>
                </anchor>
              </controlPr>
            </control>
          </mc:Choice>
        </mc:AlternateContent>
        <mc:AlternateContent xmlns:mc="http://schemas.openxmlformats.org/markup-compatibility/2006">
          <mc:Choice Requires="x14">
            <control shapeId="52419" r:id="rId178" name="LeftSide">
              <controlPr locked="0" defaultSize="0" autoFill="0" autoLine="0" autoPict="0" altText="Sides">
                <anchor moveWithCells="1" sizeWithCells="1">
                  <from>
                    <xdr:col>20</xdr:col>
                    <xdr:colOff>323850</xdr:colOff>
                    <xdr:row>24</xdr:row>
                    <xdr:rowOff>47625</xdr:rowOff>
                  </from>
                  <to>
                    <xdr:col>20</xdr:col>
                    <xdr:colOff>457200</xdr:colOff>
                    <xdr:row>24</xdr:row>
                    <xdr:rowOff>200025</xdr:rowOff>
                  </to>
                </anchor>
              </controlPr>
            </control>
          </mc:Choice>
        </mc:AlternateContent>
        <mc:AlternateContent xmlns:mc="http://schemas.openxmlformats.org/markup-compatibility/2006">
          <mc:Choice Requires="x14">
            <control shapeId="52420" r:id="rId179" name="RightSide">
              <controlPr defaultSize="0" autoFill="0" autoLine="0" autoPict="0" altText="Sides">
                <anchor moveWithCells="1" sizeWithCells="1">
                  <from>
                    <xdr:col>20</xdr:col>
                    <xdr:colOff>485775</xdr:colOff>
                    <xdr:row>24</xdr:row>
                    <xdr:rowOff>47625</xdr:rowOff>
                  </from>
                  <to>
                    <xdr:col>20</xdr:col>
                    <xdr:colOff>619125</xdr:colOff>
                    <xdr:row>25</xdr:row>
                    <xdr:rowOff>0</xdr:rowOff>
                  </to>
                </anchor>
              </controlPr>
            </control>
          </mc:Choice>
        </mc:AlternateContent>
        <mc:AlternateContent xmlns:mc="http://schemas.openxmlformats.org/markup-compatibility/2006">
          <mc:Choice Requires="x14">
            <control shapeId="52421" r:id="rId180" name="TopSide">
              <controlPr defaultSize="0" autoFill="0" autoLine="0" autoPict="0" altText="Sides">
                <anchor moveWithCells="1" sizeWithCells="1">
                  <from>
                    <xdr:col>20</xdr:col>
                    <xdr:colOff>0</xdr:colOff>
                    <xdr:row>24</xdr:row>
                    <xdr:rowOff>47625</xdr:rowOff>
                  </from>
                  <to>
                    <xdr:col>20</xdr:col>
                    <xdr:colOff>133350</xdr:colOff>
                    <xdr:row>25</xdr:row>
                    <xdr:rowOff>0</xdr:rowOff>
                  </to>
                </anchor>
              </controlPr>
            </control>
          </mc:Choice>
        </mc:AlternateContent>
        <mc:AlternateContent xmlns:mc="http://schemas.openxmlformats.org/markup-compatibility/2006">
          <mc:Choice Requires="x14">
            <control shapeId="52422" r:id="rId181" name="BottomSide">
              <controlPr defaultSize="0" autoFill="0" autoLine="0" autoPict="0" altText="Sides">
                <anchor moveWithCells="1" sizeWithCells="1">
                  <from>
                    <xdr:col>20</xdr:col>
                    <xdr:colOff>161925</xdr:colOff>
                    <xdr:row>24</xdr:row>
                    <xdr:rowOff>47625</xdr:rowOff>
                  </from>
                  <to>
                    <xdr:col>20</xdr:col>
                    <xdr:colOff>295275</xdr:colOff>
                    <xdr:row>25</xdr:row>
                    <xdr:rowOff>0</xdr:rowOff>
                  </to>
                </anchor>
              </controlPr>
            </control>
          </mc:Choice>
        </mc:AlternateContent>
        <mc:AlternateContent xmlns:mc="http://schemas.openxmlformats.org/markup-compatibility/2006">
          <mc:Choice Requires="x14">
            <control shapeId="52423" r:id="rId182" name="LeftSide">
              <controlPr locked="0" defaultSize="0" autoFill="0" autoLine="0" autoPict="0" altText="Sides">
                <anchor moveWithCells="1" sizeWithCells="1">
                  <from>
                    <xdr:col>20</xdr:col>
                    <xdr:colOff>333375</xdr:colOff>
                    <xdr:row>25</xdr:row>
                    <xdr:rowOff>47625</xdr:rowOff>
                  </from>
                  <to>
                    <xdr:col>20</xdr:col>
                    <xdr:colOff>466725</xdr:colOff>
                    <xdr:row>25</xdr:row>
                    <xdr:rowOff>200025</xdr:rowOff>
                  </to>
                </anchor>
              </controlPr>
            </control>
          </mc:Choice>
        </mc:AlternateContent>
        <mc:AlternateContent xmlns:mc="http://schemas.openxmlformats.org/markup-compatibility/2006">
          <mc:Choice Requires="x14">
            <control shapeId="52424" r:id="rId183" name="RightSide">
              <controlPr defaultSize="0" autoFill="0" autoLine="0" autoPict="0" altText="Sides">
                <anchor moveWithCells="1" sizeWithCells="1">
                  <from>
                    <xdr:col>20</xdr:col>
                    <xdr:colOff>495300</xdr:colOff>
                    <xdr:row>25</xdr:row>
                    <xdr:rowOff>47625</xdr:rowOff>
                  </from>
                  <to>
                    <xdr:col>20</xdr:col>
                    <xdr:colOff>628650</xdr:colOff>
                    <xdr:row>26</xdr:row>
                    <xdr:rowOff>0</xdr:rowOff>
                  </to>
                </anchor>
              </controlPr>
            </control>
          </mc:Choice>
        </mc:AlternateContent>
        <mc:AlternateContent xmlns:mc="http://schemas.openxmlformats.org/markup-compatibility/2006">
          <mc:Choice Requires="x14">
            <control shapeId="52425" r:id="rId184" name="TopSide">
              <controlPr defaultSize="0" autoFill="0" autoLine="0" autoPict="0" altText="Sides">
                <anchor moveWithCells="1" sizeWithCells="1">
                  <from>
                    <xdr:col>20</xdr:col>
                    <xdr:colOff>0</xdr:colOff>
                    <xdr:row>25</xdr:row>
                    <xdr:rowOff>47625</xdr:rowOff>
                  </from>
                  <to>
                    <xdr:col>20</xdr:col>
                    <xdr:colOff>133350</xdr:colOff>
                    <xdr:row>26</xdr:row>
                    <xdr:rowOff>0</xdr:rowOff>
                  </to>
                </anchor>
              </controlPr>
            </control>
          </mc:Choice>
        </mc:AlternateContent>
        <mc:AlternateContent xmlns:mc="http://schemas.openxmlformats.org/markup-compatibility/2006">
          <mc:Choice Requires="x14">
            <control shapeId="52426" r:id="rId185" name="BottomSide">
              <controlPr defaultSize="0" autoFill="0" autoLine="0" autoPict="0" altText="Sides">
                <anchor moveWithCells="1" sizeWithCells="1">
                  <from>
                    <xdr:col>20</xdr:col>
                    <xdr:colOff>161925</xdr:colOff>
                    <xdr:row>25</xdr:row>
                    <xdr:rowOff>47625</xdr:rowOff>
                  </from>
                  <to>
                    <xdr:col>20</xdr:col>
                    <xdr:colOff>295275</xdr:colOff>
                    <xdr:row>26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B39"/>
  <sheetViews>
    <sheetView workbookViewId="0"/>
  </sheetViews>
  <sheetFormatPr defaultRowHeight="15.75" x14ac:dyDescent="0.25"/>
  <cols>
    <col min="1" max="1" width="8.88671875" style="965" customWidth="1"/>
    <col min="2" max="2" width="27.6640625" style="965" customWidth="1"/>
    <col min="3" max="16384" width="8.88671875" style="965"/>
  </cols>
  <sheetData>
    <row r="1" spans="1:28" ht="16.149999999999999" customHeight="1" x14ac:dyDescent="0.25">
      <c r="A1" s="964"/>
    </row>
    <row r="6" spans="1:28" x14ac:dyDescent="0.25">
      <c r="H6" s="966" t="s">
        <v>664</v>
      </c>
    </row>
    <row r="7" spans="1:28" x14ac:dyDescent="0.25">
      <c r="B7" s="967"/>
      <c r="D7" s="967"/>
      <c r="F7" s="967"/>
      <c r="H7" s="967"/>
      <c r="Y7" s="966"/>
      <c r="AB7" s="966"/>
    </row>
    <row r="8" spans="1:28" x14ac:dyDescent="0.25">
      <c r="B8" s="967"/>
      <c r="D8" s="967"/>
      <c r="F8" s="967"/>
      <c r="H8" s="967"/>
      <c r="V8" s="966"/>
      <c r="Y8" s="966"/>
      <c r="AB8" s="966"/>
    </row>
    <row r="9" spans="1:28" x14ac:dyDescent="0.25">
      <c r="B9" s="967"/>
      <c r="D9" s="967"/>
      <c r="F9" s="967"/>
      <c r="H9" s="967"/>
      <c r="K9" s="967" t="s">
        <v>665</v>
      </c>
      <c r="M9" s="966" t="s">
        <v>666</v>
      </c>
      <c r="P9" s="966" t="s">
        <v>667</v>
      </c>
      <c r="R9" s="966" t="s">
        <v>668</v>
      </c>
      <c r="V9" s="966"/>
      <c r="Y9" s="966"/>
      <c r="AB9" s="966"/>
    </row>
    <row r="10" spans="1:28" x14ac:dyDescent="0.25">
      <c r="A10" s="968" t="s">
        <v>669</v>
      </c>
      <c r="B10" s="968"/>
      <c r="K10" s="966"/>
      <c r="O10" s="966"/>
      <c r="S10" s="966"/>
    </row>
    <row r="11" spans="1:28" x14ac:dyDescent="0.25">
      <c r="A11" s="969" t="s">
        <v>670</v>
      </c>
      <c r="B11" s="969" t="s">
        <v>671</v>
      </c>
    </row>
    <row r="12" spans="1:28" x14ac:dyDescent="0.25">
      <c r="A12" s="970" t="s">
        <v>672</v>
      </c>
      <c r="B12" s="970" t="s">
        <v>616</v>
      </c>
    </row>
    <row r="13" spans="1:28" x14ac:dyDescent="0.25">
      <c r="A13" s="970" t="s">
        <v>673</v>
      </c>
      <c r="B13" s="970" t="s">
        <v>617</v>
      </c>
    </row>
    <row r="14" spans="1:28" x14ac:dyDescent="0.25">
      <c r="A14" s="970" t="s">
        <v>674</v>
      </c>
      <c r="B14" s="970" t="s">
        <v>644</v>
      </c>
    </row>
    <row r="15" spans="1:28" x14ac:dyDescent="0.25">
      <c r="A15" s="970" t="s">
        <v>675</v>
      </c>
      <c r="B15" s="970" t="s">
        <v>618</v>
      </c>
      <c r="E15" s="965" t="s">
        <v>676</v>
      </c>
      <c r="G15" s="965" t="s">
        <v>677</v>
      </c>
    </row>
    <row r="16" spans="1:28" x14ac:dyDescent="0.25">
      <c r="A16" s="970" t="s">
        <v>678</v>
      </c>
      <c r="B16" s="970" t="s">
        <v>679</v>
      </c>
      <c r="Y16" s="966"/>
      <c r="AB16" s="966"/>
    </row>
    <row r="17" spans="1:28" x14ac:dyDescent="0.25">
      <c r="A17" s="970" t="s">
        <v>680</v>
      </c>
      <c r="B17" s="970" t="s">
        <v>681</v>
      </c>
      <c r="R17" s="965" t="s">
        <v>682</v>
      </c>
      <c r="V17" s="966"/>
      <c r="Y17" s="966"/>
      <c r="AB17" s="966"/>
    </row>
    <row r="18" spans="1:28" x14ac:dyDescent="0.25">
      <c r="A18" s="970" t="s">
        <v>683</v>
      </c>
      <c r="B18" s="970" t="s">
        <v>684</v>
      </c>
      <c r="K18" s="966" t="s">
        <v>685</v>
      </c>
      <c r="M18" s="966" t="s">
        <v>685</v>
      </c>
      <c r="P18" s="966" t="s">
        <v>686</v>
      </c>
      <c r="V18" s="966"/>
      <c r="Y18" s="966"/>
      <c r="AB18" s="966"/>
    </row>
    <row r="19" spans="1:28" x14ac:dyDescent="0.25">
      <c r="A19" s="970" t="s">
        <v>687</v>
      </c>
      <c r="B19" s="970" t="s">
        <v>688</v>
      </c>
      <c r="C19" s="966"/>
      <c r="E19" s="966"/>
      <c r="H19" s="966"/>
      <c r="K19" s="966" t="s">
        <v>689</v>
      </c>
      <c r="M19" s="966" t="s">
        <v>690</v>
      </c>
      <c r="O19" s="966"/>
      <c r="P19" s="966"/>
      <c r="S19" s="966"/>
      <c r="V19" s="966"/>
      <c r="Y19" s="966"/>
      <c r="AB19" s="966"/>
    </row>
    <row r="20" spans="1:28" x14ac:dyDescent="0.25">
      <c r="A20" s="970" t="s">
        <v>691</v>
      </c>
      <c r="B20" s="970" t="s">
        <v>623</v>
      </c>
      <c r="C20" s="966"/>
      <c r="E20" s="967"/>
      <c r="H20" s="966"/>
      <c r="K20" s="966"/>
      <c r="M20" s="966"/>
      <c r="O20" s="966"/>
      <c r="S20" s="966"/>
    </row>
    <row r="21" spans="1:28" x14ac:dyDescent="0.25">
      <c r="A21" s="970" t="s">
        <v>692</v>
      </c>
      <c r="B21" s="970" t="s">
        <v>624</v>
      </c>
      <c r="C21" s="966"/>
    </row>
    <row r="22" spans="1:28" x14ac:dyDescent="0.25">
      <c r="A22" s="970" t="s">
        <v>693</v>
      </c>
      <c r="B22" s="970" t="s">
        <v>648</v>
      </c>
      <c r="C22" s="966"/>
    </row>
    <row r="23" spans="1:28" x14ac:dyDescent="0.25">
      <c r="A23" s="970" t="s">
        <v>694</v>
      </c>
      <c r="B23" s="970" t="s">
        <v>626</v>
      </c>
    </row>
    <row r="24" spans="1:28" x14ac:dyDescent="0.25">
      <c r="A24" s="970" t="s">
        <v>695</v>
      </c>
      <c r="B24" s="970" t="s">
        <v>696</v>
      </c>
    </row>
    <row r="25" spans="1:28" x14ac:dyDescent="0.25">
      <c r="A25" s="970" t="s">
        <v>697</v>
      </c>
      <c r="B25" s="970" t="s">
        <v>628</v>
      </c>
      <c r="R25" s="966" t="s">
        <v>698</v>
      </c>
    </row>
    <row r="26" spans="1:28" x14ac:dyDescent="0.25">
      <c r="A26" s="970" t="s">
        <v>699</v>
      </c>
      <c r="B26" s="970" t="s">
        <v>629</v>
      </c>
      <c r="E26" s="966" t="s">
        <v>700</v>
      </c>
      <c r="K26" s="966"/>
      <c r="O26" s="966"/>
      <c r="R26" s="966" t="s">
        <v>727</v>
      </c>
    </row>
    <row r="27" spans="1:28" x14ac:dyDescent="0.25">
      <c r="A27" s="970" t="s">
        <v>701</v>
      </c>
      <c r="B27" s="970" t="s">
        <v>630</v>
      </c>
      <c r="H27" s="966" t="s">
        <v>702</v>
      </c>
      <c r="K27" s="966"/>
      <c r="O27" s="966"/>
      <c r="R27" s="966" t="s">
        <v>703</v>
      </c>
    </row>
    <row r="28" spans="1:28" x14ac:dyDescent="0.25">
      <c r="A28" s="970" t="s">
        <v>704</v>
      </c>
      <c r="B28" s="970" t="s">
        <v>631</v>
      </c>
      <c r="K28" s="966"/>
      <c r="O28" s="966"/>
    </row>
    <row r="29" spans="1:28" x14ac:dyDescent="0.25">
      <c r="A29" s="970" t="s">
        <v>705</v>
      </c>
      <c r="B29" s="970" t="s">
        <v>632</v>
      </c>
      <c r="K29" s="966" t="s">
        <v>706</v>
      </c>
      <c r="M29" s="966" t="s">
        <v>707</v>
      </c>
      <c r="O29" s="966"/>
      <c r="P29" s="966" t="s">
        <v>706</v>
      </c>
    </row>
    <row r="30" spans="1:28" x14ac:dyDescent="0.25">
      <c r="A30" s="970" t="s">
        <v>708</v>
      </c>
      <c r="B30" s="970" t="s">
        <v>709</v>
      </c>
      <c r="K30" s="967" t="s">
        <v>710</v>
      </c>
      <c r="P30" s="966" t="s">
        <v>711</v>
      </c>
    </row>
    <row r="31" spans="1:28" x14ac:dyDescent="0.25">
      <c r="A31" s="970" t="s">
        <v>712</v>
      </c>
      <c r="B31" s="970" t="s">
        <v>713</v>
      </c>
    </row>
    <row r="32" spans="1:28" x14ac:dyDescent="0.25">
      <c r="A32" s="970" t="s">
        <v>714</v>
      </c>
      <c r="B32" s="970" t="s">
        <v>645</v>
      </c>
    </row>
    <row r="39" spans="5:5" x14ac:dyDescent="0.25">
      <c r="E39" s="965" t="s">
        <v>715</v>
      </c>
    </row>
  </sheetData>
  <sheetProtection password="F46C" sheet="1" objects="1" scenarios="1"/>
  <pageMargins left="0.75" right="0.75" top="1" bottom="1" header="0.5" footer="0.5"/>
  <pageSetup orientation="landscape" horizontalDpi="300" verticalDpi="300" r:id="rId1"/>
  <headerFooter alignWithMargins="0"/>
  <drawing r:id="rId2"/>
  <legacyDrawing r:id="rId3"/>
  <oleObjects>
    <mc:AlternateContent xmlns:mc="http://schemas.openxmlformats.org/markup-compatibility/2006">
      <mc:Choice Requires="x14">
        <oleObject progId="AutoCAD.Drawing.15" shapeId="62465" r:id="rId4">
          <objectPr defaultSize="0" autoPict="0" r:id="rId5">
            <anchor moveWithCells="1">
              <from>
                <xdr:col>6</xdr:col>
                <xdr:colOff>76200</xdr:colOff>
                <xdr:row>1</xdr:row>
                <xdr:rowOff>66675</xdr:rowOff>
              </from>
              <to>
                <xdr:col>9</xdr:col>
                <xdr:colOff>57150</xdr:colOff>
                <xdr:row>4</xdr:row>
                <xdr:rowOff>38100</xdr:rowOff>
              </to>
            </anchor>
          </objectPr>
        </oleObject>
      </mc:Choice>
      <mc:Fallback>
        <oleObject progId="AutoCAD.Drawing.15" shapeId="62465" r:id="rId4"/>
      </mc:Fallback>
    </mc:AlternateContent>
    <mc:AlternateContent xmlns:mc="http://schemas.openxmlformats.org/markup-compatibility/2006">
      <mc:Choice Requires="x14">
        <oleObject progId="AutoCAD.Drawing.15" shapeId="62466" r:id="rId6">
          <objectPr defaultSize="0" autoPict="0" r:id="rId7">
            <anchor moveWithCells="1">
              <from>
                <xdr:col>2</xdr:col>
                <xdr:colOff>676275</xdr:colOff>
                <xdr:row>20</xdr:row>
                <xdr:rowOff>200025</xdr:rowOff>
              </from>
              <to>
                <xdr:col>5</xdr:col>
                <xdr:colOff>666750</xdr:colOff>
                <xdr:row>24</xdr:row>
                <xdr:rowOff>171450</xdr:rowOff>
              </to>
            </anchor>
          </objectPr>
        </oleObject>
      </mc:Choice>
      <mc:Fallback>
        <oleObject progId="AutoCAD.Drawing.15" shapeId="62466" r:id="rId6"/>
      </mc:Fallback>
    </mc:AlternateContent>
    <mc:AlternateContent xmlns:mc="http://schemas.openxmlformats.org/markup-compatibility/2006">
      <mc:Choice Requires="x14">
        <oleObject progId="AutoCAD.Drawing.15" shapeId="62467" r:id="rId8">
          <objectPr defaultSize="0" autoPict="0" r:id="rId9">
            <anchor moveWithCells="1">
              <from>
                <xdr:col>6</xdr:col>
                <xdr:colOff>200025</xdr:colOff>
                <xdr:row>20</xdr:row>
                <xdr:rowOff>200025</xdr:rowOff>
              </from>
              <to>
                <xdr:col>9</xdr:col>
                <xdr:colOff>190500</xdr:colOff>
                <xdr:row>26</xdr:row>
                <xdr:rowOff>9525</xdr:rowOff>
              </to>
            </anchor>
          </objectPr>
        </oleObject>
      </mc:Choice>
      <mc:Fallback>
        <oleObject progId="AutoCAD.Drawing.15" shapeId="62467" r:id="rId8"/>
      </mc:Fallback>
    </mc:AlternateContent>
    <mc:AlternateContent xmlns:mc="http://schemas.openxmlformats.org/markup-compatibility/2006">
      <mc:Choice Requires="x14">
        <oleObject progId="AutoCAD.Drawing.15" shapeId="62468" r:id="rId10">
          <objectPr defaultSize="0" autoPict="0" r:id="rId11">
            <anchor moveWithCells="1">
              <from>
                <xdr:col>14</xdr:col>
                <xdr:colOff>66675</xdr:colOff>
                <xdr:row>20</xdr:row>
                <xdr:rowOff>85725</xdr:rowOff>
              </from>
              <to>
                <xdr:col>16</xdr:col>
                <xdr:colOff>95250</xdr:colOff>
                <xdr:row>26</xdr:row>
                <xdr:rowOff>200025</xdr:rowOff>
              </to>
            </anchor>
          </objectPr>
        </oleObject>
      </mc:Choice>
      <mc:Fallback>
        <oleObject progId="AutoCAD.Drawing.15" shapeId="62468" r:id="rId10"/>
      </mc:Fallback>
    </mc:AlternateContent>
    <mc:AlternateContent xmlns:mc="http://schemas.openxmlformats.org/markup-compatibility/2006">
      <mc:Choice Requires="x14">
        <oleObject progId="AutoCAD.Drawing.15" shapeId="62469" r:id="rId12">
          <objectPr defaultSize="0" autoPict="0" r:id="rId13">
            <anchor moveWithCells="1">
              <from>
                <xdr:col>9</xdr:col>
                <xdr:colOff>295275</xdr:colOff>
                <xdr:row>20</xdr:row>
                <xdr:rowOff>76200</xdr:rowOff>
              </from>
              <to>
                <xdr:col>11</xdr:col>
                <xdr:colOff>438150</xdr:colOff>
                <xdr:row>27</xdr:row>
                <xdr:rowOff>85725</xdr:rowOff>
              </to>
            </anchor>
          </objectPr>
        </oleObject>
      </mc:Choice>
      <mc:Fallback>
        <oleObject progId="AutoCAD.Drawing.15" shapeId="62469" r:id="rId12"/>
      </mc:Fallback>
    </mc:AlternateContent>
    <mc:AlternateContent xmlns:mc="http://schemas.openxmlformats.org/markup-compatibility/2006">
      <mc:Choice Requires="x14">
        <oleObject progId="AutoCAD.Drawing.15" shapeId="62470" r:id="rId14">
          <objectPr defaultSize="0" autoPict="0" r:id="rId15">
            <anchor moveWithCells="1">
              <from>
                <xdr:col>12</xdr:col>
                <xdr:colOff>19050</xdr:colOff>
                <xdr:row>0</xdr:row>
                <xdr:rowOff>0</xdr:rowOff>
              </from>
              <to>
                <xdr:col>14</xdr:col>
                <xdr:colOff>161925</xdr:colOff>
                <xdr:row>8</xdr:row>
                <xdr:rowOff>0</xdr:rowOff>
              </to>
            </anchor>
          </objectPr>
        </oleObject>
      </mc:Choice>
      <mc:Fallback>
        <oleObject progId="AutoCAD.Drawing.15" shapeId="62470" r:id="rId14"/>
      </mc:Fallback>
    </mc:AlternateContent>
    <mc:AlternateContent xmlns:mc="http://schemas.openxmlformats.org/markup-compatibility/2006">
      <mc:Choice Requires="x14">
        <oleObject progId="AutoCAD.Drawing.15" shapeId="62471" r:id="rId16">
          <objectPr defaultSize="0" autoPict="0" r:id="rId17">
            <anchor moveWithCells="1">
              <from>
                <xdr:col>14</xdr:col>
                <xdr:colOff>295275</xdr:colOff>
                <xdr:row>0</xdr:row>
                <xdr:rowOff>0</xdr:rowOff>
              </from>
              <to>
                <xdr:col>16</xdr:col>
                <xdr:colOff>485775</xdr:colOff>
                <xdr:row>7</xdr:row>
                <xdr:rowOff>152400</xdr:rowOff>
              </to>
            </anchor>
          </objectPr>
        </oleObject>
      </mc:Choice>
      <mc:Fallback>
        <oleObject progId="AutoCAD.Drawing.15" shapeId="62471" r:id="rId16"/>
      </mc:Fallback>
    </mc:AlternateContent>
    <mc:AlternateContent xmlns:mc="http://schemas.openxmlformats.org/markup-compatibility/2006">
      <mc:Choice Requires="x14">
        <oleObject progId="AutoCAD.Drawing.15" shapeId="62472" r:id="rId18">
          <objectPr defaultSize="0" autoPict="0" r:id="rId19">
            <anchor moveWithCells="1">
              <from>
                <xdr:col>17</xdr:col>
                <xdr:colOff>19050</xdr:colOff>
                <xdr:row>9</xdr:row>
                <xdr:rowOff>200025</xdr:rowOff>
              </from>
              <to>
                <xdr:col>18</xdr:col>
                <xdr:colOff>571500</xdr:colOff>
                <xdr:row>15</xdr:row>
                <xdr:rowOff>19050</xdr:rowOff>
              </to>
            </anchor>
          </objectPr>
        </oleObject>
      </mc:Choice>
      <mc:Fallback>
        <oleObject progId="AutoCAD.Drawing.15" shapeId="62472" r:id="rId18"/>
      </mc:Fallback>
    </mc:AlternateContent>
    <mc:AlternateContent xmlns:mc="http://schemas.openxmlformats.org/markup-compatibility/2006">
      <mc:Choice Requires="x14">
        <oleObject progId="AutoCAD.Drawing.15" shapeId="62473" r:id="rId20">
          <objectPr defaultSize="0" autoPict="0" r:id="rId21">
            <anchor moveWithCells="1">
              <from>
                <xdr:col>16</xdr:col>
                <xdr:colOff>257175</xdr:colOff>
                <xdr:row>19</xdr:row>
                <xdr:rowOff>0</xdr:rowOff>
              </from>
              <to>
                <xdr:col>19</xdr:col>
                <xdr:colOff>295275</xdr:colOff>
                <xdr:row>23</xdr:row>
                <xdr:rowOff>161925</xdr:rowOff>
              </to>
            </anchor>
          </objectPr>
        </oleObject>
      </mc:Choice>
      <mc:Fallback>
        <oleObject progId="AutoCAD.Drawing.15" shapeId="62473" r:id="rId20"/>
      </mc:Fallback>
    </mc:AlternateContent>
    <mc:AlternateContent xmlns:mc="http://schemas.openxmlformats.org/markup-compatibility/2006">
      <mc:Choice Requires="x14">
        <oleObject progId="AutoCAD.Drawing.15" shapeId="62474" r:id="rId22">
          <objectPr defaultSize="0" autoPict="0" r:id="rId23">
            <anchor moveWithCells="1">
              <from>
                <xdr:col>16</xdr:col>
                <xdr:colOff>609600</xdr:colOff>
                <xdr:row>1</xdr:row>
                <xdr:rowOff>38100</xdr:rowOff>
              </from>
              <to>
                <xdr:col>19</xdr:col>
                <xdr:colOff>9525</xdr:colOff>
                <xdr:row>7</xdr:row>
                <xdr:rowOff>66675</xdr:rowOff>
              </to>
            </anchor>
          </objectPr>
        </oleObject>
      </mc:Choice>
      <mc:Fallback>
        <oleObject progId="AutoCAD.Drawing.15" shapeId="62474" r:id="rId22"/>
      </mc:Fallback>
    </mc:AlternateContent>
    <mc:AlternateContent xmlns:mc="http://schemas.openxmlformats.org/markup-compatibility/2006">
      <mc:Choice Requires="x14">
        <oleObject progId="AutoCAD.Drawing.15" shapeId="62475" r:id="rId24">
          <objectPr defaultSize="0" autoPict="0" r:id="rId25">
            <anchor moveWithCells="1">
              <from>
                <xdr:col>14</xdr:col>
                <xdr:colOff>219075</xdr:colOff>
                <xdr:row>10</xdr:row>
                <xdr:rowOff>190500</xdr:rowOff>
              </from>
              <to>
                <xdr:col>16</xdr:col>
                <xdr:colOff>152400</xdr:colOff>
                <xdr:row>16</xdr:row>
                <xdr:rowOff>19050</xdr:rowOff>
              </to>
            </anchor>
          </objectPr>
        </oleObject>
      </mc:Choice>
      <mc:Fallback>
        <oleObject progId="AutoCAD.Drawing.15" shapeId="62475" r:id="rId24"/>
      </mc:Fallback>
    </mc:AlternateContent>
    <mc:AlternateContent xmlns:mc="http://schemas.openxmlformats.org/markup-compatibility/2006">
      <mc:Choice Requires="x14">
        <oleObject progId="AutoCAD.Drawing.15" shapeId="62476" r:id="rId26">
          <objectPr defaultSize="0" autoPict="0" r:id="rId27">
            <anchor moveWithCells="1">
              <from>
                <xdr:col>9</xdr:col>
                <xdr:colOff>371475</xdr:colOff>
                <xdr:row>10</xdr:row>
                <xdr:rowOff>114300</xdr:rowOff>
              </from>
              <to>
                <xdr:col>11</xdr:col>
                <xdr:colOff>523875</xdr:colOff>
                <xdr:row>16</xdr:row>
                <xdr:rowOff>76200</xdr:rowOff>
              </to>
            </anchor>
          </objectPr>
        </oleObject>
      </mc:Choice>
      <mc:Fallback>
        <oleObject progId="AutoCAD.Drawing.15" shapeId="62476" r:id="rId26"/>
      </mc:Fallback>
    </mc:AlternateContent>
    <mc:AlternateContent xmlns:mc="http://schemas.openxmlformats.org/markup-compatibility/2006">
      <mc:Choice Requires="x14">
        <oleObject progId="AutoCAD.Drawing.15" shapeId="62477" r:id="rId28">
          <objectPr defaultSize="0" autoPict="0" r:id="rId29">
            <anchor moveWithCells="1">
              <from>
                <xdr:col>12</xdr:col>
                <xdr:colOff>190500</xdr:colOff>
                <xdr:row>10</xdr:row>
                <xdr:rowOff>190500</xdr:rowOff>
              </from>
              <to>
                <xdr:col>13</xdr:col>
                <xdr:colOff>628650</xdr:colOff>
                <xdr:row>16</xdr:row>
                <xdr:rowOff>76200</xdr:rowOff>
              </to>
            </anchor>
          </objectPr>
        </oleObject>
      </mc:Choice>
      <mc:Fallback>
        <oleObject progId="AutoCAD.Drawing.15" shapeId="62477" r:id="rId28"/>
      </mc:Fallback>
    </mc:AlternateContent>
    <mc:AlternateContent xmlns:mc="http://schemas.openxmlformats.org/markup-compatibility/2006">
      <mc:Choice Requires="x14">
        <oleObject progId="AutoCAD.Drawing.15" shapeId="62478" r:id="rId30">
          <objectPr defaultSize="0" autoPict="0" r:id="rId31">
            <anchor moveWithCells="1">
              <from>
                <xdr:col>9</xdr:col>
                <xdr:colOff>304800</xdr:colOff>
                <xdr:row>0</xdr:row>
                <xdr:rowOff>66675</xdr:rowOff>
              </from>
              <to>
                <xdr:col>11</xdr:col>
                <xdr:colOff>447675</xdr:colOff>
                <xdr:row>8</xdr:row>
                <xdr:rowOff>28575</xdr:rowOff>
              </to>
            </anchor>
          </objectPr>
        </oleObject>
      </mc:Choice>
      <mc:Fallback>
        <oleObject progId="AutoCAD.Drawing.15" shapeId="62478" r:id="rId30"/>
      </mc:Fallback>
    </mc:AlternateContent>
    <mc:AlternateContent xmlns:mc="http://schemas.openxmlformats.org/markup-compatibility/2006">
      <mc:Choice Requires="x14">
        <oleObject progId="AutoCAD.Drawing.15" shapeId="62479" r:id="rId32">
          <objectPr defaultSize="0" autoPict="0" r:id="rId33">
            <anchor moveWithCells="1">
              <from>
                <xdr:col>11</xdr:col>
                <xdr:colOff>552450</xdr:colOff>
                <xdr:row>20</xdr:row>
                <xdr:rowOff>85725</xdr:rowOff>
              </from>
              <to>
                <xdr:col>14</xdr:col>
                <xdr:colOff>76200</xdr:colOff>
                <xdr:row>27</xdr:row>
                <xdr:rowOff>66675</xdr:rowOff>
              </to>
            </anchor>
          </objectPr>
        </oleObject>
      </mc:Choice>
      <mc:Fallback>
        <oleObject progId="AutoCAD.Drawing.15" shapeId="62479" r:id="rId32"/>
      </mc:Fallback>
    </mc:AlternateContent>
    <mc:AlternateContent xmlns:mc="http://schemas.openxmlformats.org/markup-compatibility/2006">
      <mc:Choice Requires="x14">
        <oleObject progId="AutoCAD.Drawing.16" shapeId="62480" r:id="rId34">
          <objectPr defaultSize="0" autoPict="0" r:id="rId35">
            <anchor moveWithCells="1" sizeWithCells="1">
              <from>
                <xdr:col>3</xdr:col>
                <xdr:colOff>676275</xdr:colOff>
                <xdr:row>28</xdr:row>
                <xdr:rowOff>114300</xdr:rowOff>
              </from>
              <to>
                <xdr:col>6</xdr:col>
                <xdr:colOff>76200</xdr:colOff>
                <xdr:row>37</xdr:row>
                <xdr:rowOff>66675</xdr:rowOff>
              </to>
            </anchor>
          </objectPr>
        </oleObject>
      </mc:Choice>
      <mc:Fallback>
        <oleObject progId="AutoCAD.Drawing.16" shapeId="62480" r:id="rId34"/>
      </mc:Fallback>
    </mc:AlternateContent>
    <mc:AlternateContent xmlns:mc="http://schemas.openxmlformats.org/markup-compatibility/2006">
      <mc:Choice Requires="x14">
        <oleObject progId="AutoCAD.Drawing.16" shapeId="62481" r:id="rId36">
          <objectPr defaultSize="0" autoPict="0" r:id="rId37">
            <anchor moveWithCells="1" sizeWithCells="1">
              <from>
                <xdr:col>6</xdr:col>
                <xdr:colOff>523875</xdr:colOff>
                <xdr:row>30</xdr:row>
                <xdr:rowOff>161925</xdr:rowOff>
              </from>
              <to>
                <xdr:col>13</xdr:col>
                <xdr:colOff>171450</xdr:colOff>
                <xdr:row>40</xdr:row>
                <xdr:rowOff>85725</xdr:rowOff>
              </to>
            </anchor>
          </objectPr>
        </oleObject>
      </mc:Choice>
      <mc:Fallback>
        <oleObject progId="AutoCAD.Drawing.16" shapeId="62481" r:id="rId36"/>
      </mc:Fallback>
    </mc:AlternateContent>
    <mc:AlternateContent xmlns:mc="http://schemas.openxmlformats.org/markup-compatibility/2006">
      <mc:Choice Requires="x14">
        <oleObject progId="ZwCAD.Drawing" shapeId="62482" r:id="rId38">
          <objectPr defaultSize="0" autoPict="0" r:id="rId39">
            <anchor moveWithCells="1" sizeWithCells="1">
              <from>
                <xdr:col>3</xdr:col>
                <xdr:colOff>495300</xdr:colOff>
                <xdr:row>7</xdr:row>
                <xdr:rowOff>104775</xdr:rowOff>
              </from>
              <to>
                <xdr:col>8</xdr:col>
                <xdr:colOff>104775</xdr:colOff>
                <xdr:row>14</xdr:row>
                <xdr:rowOff>66675</xdr:rowOff>
              </to>
            </anchor>
          </objectPr>
        </oleObject>
      </mc:Choice>
      <mc:Fallback>
        <oleObject progId="ZwCAD.Drawing" shapeId="62482" r:id="rId38"/>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R61"/>
  <sheetViews>
    <sheetView tabSelected="1" zoomScale="75" zoomScaleNormal="75" workbookViewId="0">
      <selection sqref="A1:I35"/>
    </sheetView>
  </sheetViews>
  <sheetFormatPr defaultColWidth="7.109375" defaultRowHeight="12.75" x14ac:dyDescent="0.2"/>
  <cols>
    <col min="1" max="1" width="4.33203125" style="503" customWidth="1"/>
    <col min="2" max="2" width="11.6640625" style="503" customWidth="1"/>
    <col min="3" max="3" width="9" style="503" customWidth="1"/>
    <col min="4" max="4" width="7.109375" style="503" customWidth="1"/>
    <col min="5" max="5" width="2.6640625" style="503" customWidth="1"/>
    <col min="6" max="6" width="9.88671875" style="503" customWidth="1"/>
    <col min="7" max="7" width="12.44140625" style="503" customWidth="1"/>
    <col min="8" max="8" width="7.44140625" style="503" customWidth="1"/>
    <col min="9" max="9" width="7.109375" style="503" customWidth="1"/>
    <col min="10" max="15" width="7.109375" style="503" hidden="1" customWidth="1"/>
    <col min="16" max="16" width="13.77734375" style="503" hidden="1" customWidth="1"/>
    <col min="17" max="18" width="7.109375" style="503" hidden="1" customWidth="1"/>
    <col min="19" max="16384" width="7.109375" style="503"/>
  </cols>
  <sheetData>
    <row r="1" spans="1:9" ht="15.75" x14ac:dyDescent="0.25">
      <c r="A1" s="521"/>
      <c r="B1" s="521"/>
      <c r="C1" s="521"/>
      <c r="D1" s="521"/>
      <c r="E1" s="521"/>
      <c r="F1" s="521"/>
      <c r="G1" s="522" t="s">
        <v>395</v>
      </c>
      <c r="H1" s="521"/>
      <c r="I1" s="521"/>
    </row>
    <row r="2" spans="1:9" ht="10.5" customHeight="1" thickBot="1" x14ac:dyDescent="0.25">
      <c r="A2" s="521"/>
      <c r="B2" s="521"/>
      <c r="C2" s="521"/>
      <c r="D2" s="521"/>
      <c r="E2" s="521"/>
      <c r="F2" s="521"/>
      <c r="G2" s="521"/>
      <c r="H2" s="521"/>
      <c r="I2" s="521"/>
    </row>
    <row r="3" spans="1:9" ht="13.5" thickBot="1" x14ac:dyDescent="0.25">
      <c r="A3" s="523" t="s">
        <v>9</v>
      </c>
      <c r="B3" s="523"/>
      <c r="C3" s="1488" t="str">
        <f>Dealer_Name</f>
        <v>CP Sunblinds Ltd</v>
      </c>
      <c r="D3" s="1489"/>
      <c r="E3" s="1489"/>
      <c r="F3" s="1489"/>
      <c r="G3" s="1489"/>
      <c r="H3" s="1489"/>
      <c r="I3" s="1490"/>
    </row>
    <row r="4" spans="1:9" ht="13.5" thickBot="1" x14ac:dyDescent="0.25">
      <c r="A4" s="523"/>
      <c r="B4" s="523"/>
      <c r="C4" s="525"/>
      <c r="D4" s="525"/>
      <c r="E4" s="525"/>
      <c r="F4" s="525"/>
      <c r="G4" s="525"/>
      <c r="H4" s="524"/>
      <c r="I4" s="524"/>
    </row>
    <row r="5" spans="1:9" s="505" customFormat="1" ht="15" hidden="1" customHeight="1" thickBot="1" x14ac:dyDescent="0.25">
      <c r="A5" s="526"/>
      <c r="B5" s="526"/>
      <c r="C5" s="526"/>
      <c r="D5" s="526"/>
      <c r="E5" s="526"/>
      <c r="F5" s="523" t="s">
        <v>396</v>
      </c>
      <c r="G5" s="526"/>
      <c r="H5" s="1493"/>
      <c r="I5" s="1494"/>
    </row>
    <row r="6" spans="1:9" ht="17.25" customHeight="1" thickBot="1" x14ac:dyDescent="0.25">
      <c r="A6" s="521"/>
      <c r="B6" s="521"/>
      <c r="C6" s="521"/>
      <c r="D6" s="521"/>
      <c r="E6" s="521"/>
      <c r="F6" s="521"/>
      <c r="G6" s="521"/>
      <c r="H6" s="521"/>
      <c r="I6" s="527"/>
    </row>
    <row r="7" spans="1:9" ht="18" customHeight="1" thickBot="1" x14ac:dyDescent="0.25">
      <c r="A7" s="521"/>
      <c r="B7" s="521"/>
      <c r="C7" s="521"/>
      <c r="D7" s="521"/>
      <c r="E7" s="521"/>
      <c r="F7" s="523" t="s">
        <v>397</v>
      </c>
      <c r="G7" s="521"/>
      <c r="H7" s="1493" t="str">
        <f>SC_ACno</f>
        <v>CPSUN</v>
      </c>
      <c r="I7" s="1494"/>
    </row>
    <row r="8" spans="1:9" ht="13.5" thickBot="1" x14ac:dyDescent="0.25">
      <c r="A8" s="521"/>
      <c r="B8" s="521"/>
      <c r="C8" s="521"/>
      <c r="D8" s="521"/>
      <c r="E8" s="521"/>
      <c r="F8" s="521"/>
      <c r="G8" s="521"/>
      <c r="H8" s="521"/>
      <c r="I8" s="527"/>
    </row>
    <row r="9" spans="1:9" s="505" customFormat="1" ht="18" customHeight="1" thickBot="1" x14ac:dyDescent="0.25">
      <c r="A9" s="526"/>
      <c r="B9" s="526"/>
      <c r="C9" s="526"/>
      <c r="D9" s="526"/>
      <c r="E9" s="526"/>
      <c r="F9" s="523" t="s">
        <v>398</v>
      </c>
      <c r="G9" s="526"/>
      <c r="H9" s="1493"/>
      <c r="I9" s="1494"/>
    </row>
    <row r="10" spans="1:9" s="505" customFormat="1" ht="13.5" thickBot="1" x14ac:dyDescent="0.25">
      <c r="A10" s="523"/>
      <c r="B10" s="523"/>
      <c r="C10" s="526"/>
      <c r="D10" s="526"/>
      <c r="E10" s="526"/>
      <c r="F10" s="526"/>
      <c r="G10" s="523"/>
      <c r="H10" s="526"/>
      <c r="I10" s="528"/>
    </row>
    <row r="11" spans="1:9" ht="17.25" customHeight="1" thickBot="1" x14ac:dyDescent="0.25">
      <c r="A11" s="521"/>
      <c r="B11" s="521"/>
      <c r="C11" s="521"/>
      <c r="D11" s="521"/>
      <c r="E11" s="521"/>
      <c r="F11" s="523" t="s">
        <v>399</v>
      </c>
      <c r="G11" s="521"/>
      <c r="H11" s="1493" t="str">
        <f>SC_Order_No</f>
        <v>SCR15111223</v>
      </c>
      <c r="I11" s="1494"/>
    </row>
    <row r="12" spans="1:9" ht="13.5" thickBot="1" x14ac:dyDescent="0.25">
      <c r="A12" s="521"/>
      <c r="B12" s="521"/>
      <c r="C12" s="521"/>
      <c r="D12" s="521"/>
      <c r="E12" s="521"/>
      <c r="F12" s="521"/>
      <c r="G12" s="521"/>
      <c r="H12" s="521"/>
      <c r="I12" s="527"/>
    </row>
    <row r="13" spans="1:9" ht="17.25" customHeight="1" thickBot="1" x14ac:dyDescent="0.25">
      <c r="A13" s="521"/>
      <c r="B13" s="521"/>
      <c r="C13" s="521"/>
      <c r="D13" s="521"/>
      <c r="E13" s="521"/>
      <c r="F13" s="523" t="s">
        <v>400</v>
      </c>
      <c r="G13" s="521"/>
      <c r="H13" s="1493" t="str">
        <f>Customer_name</f>
        <v xml:space="preserve">Curwood </v>
      </c>
      <c r="I13" s="1494"/>
    </row>
    <row r="14" spans="1:9" ht="13.5" thickBot="1" x14ac:dyDescent="0.25">
      <c r="A14" s="521"/>
      <c r="B14" s="521"/>
      <c r="C14" s="521"/>
      <c r="D14" s="521"/>
      <c r="E14" s="521"/>
      <c r="F14" s="521"/>
      <c r="G14" s="521"/>
      <c r="H14" s="521"/>
      <c r="I14" s="527"/>
    </row>
    <row r="15" spans="1:9" s="505" customFormat="1" ht="18" customHeight="1" thickBot="1" x14ac:dyDescent="0.25">
      <c r="A15" s="526"/>
      <c r="B15" s="526"/>
      <c r="C15" s="526"/>
      <c r="D15" s="526"/>
      <c r="E15" s="526"/>
      <c r="F15" s="523" t="s">
        <v>401</v>
      </c>
      <c r="G15" s="526"/>
      <c r="H15" s="1493" t="str">
        <f>Dealer_Order_no</f>
        <v>SO2302</v>
      </c>
      <c r="I15" s="1494"/>
    </row>
    <row r="16" spans="1:9" s="505" customFormat="1" x14ac:dyDescent="0.2">
      <c r="A16" s="523"/>
      <c r="B16" s="523"/>
      <c r="C16" s="526"/>
      <c r="D16" s="526"/>
      <c r="E16" s="526"/>
      <c r="F16" s="526"/>
      <c r="G16" s="523"/>
      <c r="H16" s="526"/>
      <c r="I16" s="528"/>
    </row>
    <row r="17" spans="1:16" x14ac:dyDescent="0.2">
      <c r="A17" s="521"/>
      <c r="B17" s="521"/>
      <c r="C17" s="521"/>
      <c r="D17" s="521"/>
      <c r="E17" s="521"/>
      <c r="F17" s="529" t="s">
        <v>402</v>
      </c>
      <c r="G17" s="521"/>
      <c r="H17" s="521"/>
      <c r="I17" s="521"/>
    </row>
    <row r="18" spans="1:16" x14ac:dyDescent="0.2">
      <c r="A18" s="521"/>
      <c r="B18" s="521"/>
      <c r="C18" s="521"/>
      <c r="D18" s="521"/>
      <c r="E18" s="521"/>
      <c r="F18" s="521"/>
      <c r="G18" s="521"/>
      <c r="H18" s="521"/>
      <c r="I18" s="521"/>
    </row>
    <row r="19" spans="1:16" x14ac:dyDescent="0.2">
      <c r="A19" s="530" t="s">
        <v>440</v>
      </c>
      <c r="B19" s="530" t="s">
        <v>438</v>
      </c>
      <c r="C19" s="1504" t="s">
        <v>403</v>
      </c>
      <c r="D19" s="1504"/>
      <c r="E19" s="1504"/>
      <c r="F19" s="1504"/>
      <c r="G19" s="1504" t="s">
        <v>404</v>
      </c>
      <c r="H19" s="1504"/>
      <c r="I19" s="1504"/>
      <c r="K19" s="507" t="s">
        <v>405</v>
      </c>
      <c r="L19" s="508"/>
      <c r="M19" s="508"/>
      <c r="N19" s="508"/>
      <c r="O19" s="508"/>
      <c r="P19" s="582" t="s">
        <v>439</v>
      </c>
    </row>
    <row r="20" spans="1:16" ht="45" customHeight="1" x14ac:dyDescent="0.2">
      <c r="A20" s="509">
        <v>1</v>
      </c>
      <c r="B20" s="581" t="str">
        <f>IF('Purchase Order SCRAFT'!B7="","",'Purchase Order SCRAFT'!B7)</f>
        <v xml:space="preserve">Bed 2 </v>
      </c>
      <c r="C20" s="1501"/>
      <c r="D20" s="1502"/>
      <c r="E20" s="1502"/>
      <c r="F20" s="1502"/>
      <c r="G20" s="1508"/>
      <c r="H20" s="1503"/>
      <c r="I20" s="1503"/>
      <c r="K20" s="1509"/>
      <c r="L20" s="1509"/>
      <c r="M20" s="1509"/>
      <c r="N20" s="1509"/>
      <c r="O20" s="1509"/>
      <c r="P20" s="508"/>
    </row>
    <row r="21" spans="1:16" ht="45" customHeight="1" x14ac:dyDescent="0.2">
      <c r="A21" s="509">
        <v>2</v>
      </c>
      <c r="B21" s="581" t="str">
        <f>IF('Purchase Order SCRAFT'!B8="","",'Purchase Order SCRAFT'!B8)</f>
        <v>Bed1</v>
      </c>
      <c r="C21" s="1502"/>
      <c r="D21" s="1502"/>
      <c r="E21" s="1502"/>
      <c r="F21" s="1502"/>
      <c r="G21" s="1503"/>
      <c r="H21" s="1503"/>
      <c r="I21" s="1503"/>
      <c r="K21" s="1509"/>
      <c r="L21" s="1509"/>
      <c r="M21" s="1509"/>
      <c r="N21" s="1509"/>
      <c r="O21" s="1509"/>
      <c r="P21" s="508"/>
    </row>
    <row r="22" spans="1:16" ht="45" customHeight="1" x14ac:dyDescent="0.2">
      <c r="A22" s="509">
        <v>3</v>
      </c>
      <c r="B22" s="581" t="str">
        <f>IF('Purchase Order SCRAFT'!B9="","",'Purchase Order SCRAFT'!B9)</f>
        <v xml:space="preserve">Dressing Room </v>
      </c>
      <c r="C22" s="1503"/>
      <c r="D22" s="1503"/>
      <c r="E22" s="1503"/>
      <c r="F22" s="1503"/>
      <c r="G22" s="1503"/>
      <c r="H22" s="1503"/>
      <c r="I22" s="1503"/>
      <c r="K22" s="1509"/>
      <c r="L22" s="1509"/>
      <c r="M22" s="1509"/>
      <c r="N22" s="1509"/>
      <c r="O22" s="1509"/>
      <c r="P22" s="508"/>
    </row>
    <row r="23" spans="1:16" ht="45" customHeight="1" x14ac:dyDescent="0.2">
      <c r="A23" s="509">
        <v>4</v>
      </c>
      <c r="B23" s="581" t="str">
        <f>IF('Purchase Order SCRAFT'!B10="","",'Purchase Order SCRAFT'!B10)</f>
        <v xml:space="preserve">Front Door Panels </v>
      </c>
      <c r="C23" s="1503"/>
      <c r="D23" s="1503"/>
      <c r="E23" s="1503"/>
      <c r="F23" s="1503"/>
      <c r="G23" s="1503"/>
      <c r="H23" s="1503"/>
      <c r="I23" s="1503"/>
      <c r="K23" s="1509"/>
      <c r="L23" s="1509"/>
      <c r="M23" s="1509"/>
      <c r="N23" s="1509"/>
      <c r="O23" s="1509"/>
      <c r="P23" s="508"/>
    </row>
    <row r="24" spans="1:16" ht="45" customHeight="1" x14ac:dyDescent="0.2">
      <c r="A24" s="509">
        <v>5</v>
      </c>
      <c r="B24" s="581" t="str">
        <f>IF('Purchase Order SCRAFT'!B11="","",'Purchase Order SCRAFT'!B11)</f>
        <v xml:space="preserve">Front Door Panels </v>
      </c>
      <c r="C24" s="1503"/>
      <c r="D24" s="1503"/>
      <c r="E24" s="1503"/>
      <c r="F24" s="1503"/>
      <c r="G24" s="1503"/>
      <c r="H24" s="1503"/>
      <c r="I24" s="1503"/>
      <c r="K24" s="1509"/>
      <c r="L24" s="1509"/>
      <c r="M24" s="1509"/>
      <c r="N24" s="1509"/>
      <c r="O24" s="1509"/>
      <c r="P24" s="508"/>
    </row>
    <row r="25" spans="1:16" ht="45" customHeight="1" x14ac:dyDescent="0.2">
      <c r="A25" s="509">
        <v>6</v>
      </c>
      <c r="B25" s="581" t="str">
        <f>IF('Purchase Order SCRAFT'!B12="","",'Purchase Order SCRAFT'!B12)</f>
        <v>Study</v>
      </c>
      <c r="C25" s="1503"/>
      <c r="D25" s="1503"/>
      <c r="E25" s="1503"/>
      <c r="F25" s="1503"/>
      <c r="G25" s="1503"/>
      <c r="H25" s="1503"/>
      <c r="I25" s="1503"/>
      <c r="K25" s="1509"/>
      <c r="L25" s="1509"/>
      <c r="M25" s="1509"/>
      <c r="N25" s="1509"/>
      <c r="O25" s="1509"/>
      <c r="P25" s="508"/>
    </row>
    <row r="26" spans="1:16" ht="45" customHeight="1" x14ac:dyDescent="0.2">
      <c r="A26" s="509">
        <v>7</v>
      </c>
      <c r="B26" s="581" t="str">
        <f>IF('Purchase Order SCRAFT'!B13="","",'Purchase Order SCRAFT'!B13)</f>
        <v>Study</v>
      </c>
      <c r="C26" s="1503"/>
      <c r="D26" s="1503"/>
      <c r="E26" s="1503"/>
      <c r="F26" s="1503"/>
      <c r="G26" s="1503"/>
      <c r="H26" s="1503"/>
      <c r="I26" s="1503"/>
      <c r="K26" s="1509"/>
      <c r="L26" s="1509"/>
      <c r="M26" s="1509"/>
      <c r="N26" s="1509"/>
      <c r="O26" s="1509"/>
      <c r="P26" s="508"/>
    </row>
    <row r="27" spans="1:16" ht="45" customHeight="1" x14ac:dyDescent="0.2">
      <c r="A27" s="509">
        <v>8</v>
      </c>
      <c r="B27" s="581" t="str">
        <f>IF('Purchase Order SCRAFT'!B14="","",'Purchase Order SCRAFT'!B14)</f>
        <v xml:space="preserve">Living Room </v>
      </c>
      <c r="C27" s="1503"/>
      <c r="D27" s="1503"/>
      <c r="E27" s="1503"/>
      <c r="F27" s="1503"/>
      <c r="G27" s="1503"/>
      <c r="H27" s="1503"/>
      <c r="I27" s="1503"/>
      <c r="K27" s="1509"/>
      <c r="L27" s="1509"/>
      <c r="M27" s="1509"/>
      <c r="N27" s="1509"/>
      <c r="O27" s="1509"/>
      <c r="P27" s="508"/>
    </row>
    <row r="28" spans="1:16" ht="45" customHeight="1" x14ac:dyDescent="0.2">
      <c r="A28" s="509">
        <v>9</v>
      </c>
      <c r="B28" s="581" t="str">
        <f>IF('Purchase Order SCRAFT'!B15="","",'Purchase Order SCRAFT'!B15)</f>
        <v>Utility</v>
      </c>
      <c r="C28" s="1523" t="s">
        <v>876</v>
      </c>
      <c r="D28" s="1506"/>
      <c r="E28" s="1506"/>
      <c r="F28" s="1507"/>
      <c r="G28" s="1523" t="s">
        <v>877</v>
      </c>
      <c r="H28" s="1506"/>
      <c r="I28" s="1507"/>
      <c r="K28" s="1524"/>
      <c r="L28" s="1525"/>
      <c r="M28" s="1525"/>
      <c r="N28" s="1525"/>
      <c r="O28" s="1526"/>
      <c r="P28" s="508"/>
    </row>
    <row r="29" spans="1:16" ht="45" customHeight="1" x14ac:dyDescent="0.2">
      <c r="A29" s="509">
        <v>10</v>
      </c>
      <c r="B29" s="581" t="str">
        <f>IF('Purchase Order SCRAFT'!B16="","",'Purchase Order SCRAFT'!B16)</f>
        <v/>
      </c>
      <c r="C29" s="1505"/>
      <c r="D29" s="1506"/>
      <c r="E29" s="1506"/>
      <c r="F29" s="1507"/>
      <c r="G29" s="1505"/>
      <c r="H29" s="1506"/>
      <c r="I29" s="1507"/>
      <c r="K29" s="1524"/>
      <c r="L29" s="1525"/>
      <c r="M29" s="1525"/>
      <c r="N29" s="1525"/>
      <c r="O29" s="1526"/>
      <c r="P29" s="508"/>
    </row>
    <row r="30" spans="1:16" ht="45" customHeight="1" x14ac:dyDescent="0.2">
      <c r="A30" s="509">
        <v>11</v>
      </c>
      <c r="B30" s="581" t="str">
        <f>IF('Purchase Order SCRAFT'!B17="","",'Purchase Order SCRAFT'!B17)</f>
        <v/>
      </c>
      <c r="C30" s="1505"/>
      <c r="D30" s="1506"/>
      <c r="E30" s="1506"/>
      <c r="F30" s="1507"/>
      <c r="G30" s="1505"/>
      <c r="H30" s="1506"/>
      <c r="I30" s="1507"/>
      <c r="K30" s="1524"/>
      <c r="L30" s="1525"/>
      <c r="M30" s="1525"/>
      <c r="N30" s="1525"/>
      <c r="O30" s="1526"/>
      <c r="P30" s="508"/>
    </row>
    <row r="31" spans="1:16" ht="45" customHeight="1" x14ac:dyDescent="0.2">
      <c r="A31" s="509">
        <v>12</v>
      </c>
      <c r="B31" s="581" t="str">
        <f>IF('Purchase Order SCRAFT'!B18="","",'Purchase Order SCRAFT'!B18)</f>
        <v/>
      </c>
      <c r="C31" s="1505"/>
      <c r="D31" s="1506"/>
      <c r="E31" s="1506"/>
      <c r="F31" s="1507"/>
      <c r="G31" s="1505"/>
      <c r="H31" s="1506"/>
      <c r="I31" s="1507"/>
      <c r="K31" s="1524"/>
      <c r="L31" s="1525"/>
      <c r="M31" s="1525"/>
      <c r="N31" s="1525"/>
      <c r="O31" s="1526"/>
      <c r="P31" s="508"/>
    </row>
    <row r="32" spans="1:16" ht="45" customHeight="1" x14ac:dyDescent="0.2">
      <c r="A32" s="509">
        <v>13</v>
      </c>
      <c r="B32" s="581" t="str">
        <f>IF('Purchase Order SCRAFT'!B19="","",'Purchase Order SCRAFT'!B19)</f>
        <v/>
      </c>
      <c r="C32" s="1505"/>
      <c r="D32" s="1506"/>
      <c r="E32" s="1506"/>
      <c r="F32" s="1507"/>
      <c r="G32" s="1505"/>
      <c r="H32" s="1506"/>
      <c r="I32" s="1507"/>
      <c r="K32" s="1524"/>
      <c r="L32" s="1525"/>
      <c r="M32" s="1525"/>
      <c r="N32" s="1525"/>
      <c r="O32" s="1526"/>
      <c r="P32" s="508"/>
    </row>
    <row r="33" spans="1:18" ht="45" customHeight="1" x14ac:dyDescent="0.2">
      <c r="A33" s="509">
        <v>14</v>
      </c>
      <c r="B33" s="581" t="str">
        <f>IF('Purchase Order SCRAFT'!B20="","",'Purchase Order SCRAFT'!B20)</f>
        <v/>
      </c>
      <c r="C33" s="1505"/>
      <c r="D33" s="1506"/>
      <c r="E33" s="1506"/>
      <c r="F33" s="1507"/>
      <c r="G33" s="1505"/>
      <c r="H33" s="1506"/>
      <c r="I33" s="1507"/>
      <c r="K33" s="1524"/>
      <c r="L33" s="1525"/>
      <c r="M33" s="1525"/>
      <c r="N33" s="1525"/>
      <c r="O33" s="1526"/>
      <c r="P33" s="508"/>
    </row>
    <row r="34" spans="1:18" ht="45" customHeight="1" x14ac:dyDescent="0.2">
      <c r="A34" s="509">
        <v>15</v>
      </c>
      <c r="B34" s="581" t="str">
        <f>IF('Purchase Order SCRAFT'!B21="","",'Purchase Order SCRAFT'!B21)</f>
        <v/>
      </c>
      <c r="C34" s="1505"/>
      <c r="D34" s="1506"/>
      <c r="E34" s="1506"/>
      <c r="F34" s="1507"/>
      <c r="G34" s="1505"/>
      <c r="H34" s="1506"/>
      <c r="I34" s="1507"/>
      <c r="K34" s="1524"/>
      <c r="L34" s="1525"/>
      <c r="M34" s="1525"/>
      <c r="N34" s="1525"/>
      <c r="O34" s="1526"/>
      <c r="P34" s="508"/>
    </row>
    <row r="35" spans="1:18" ht="45" customHeight="1" x14ac:dyDescent="0.2">
      <c r="A35" s="509">
        <v>16</v>
      </c>
      <c r="B35" s="581" t="str">
        <f>IF('Purchase Order SCRAFT'!B22="","",'Purchase Order SCRAFT'!B22)</f>
        <v/>
      </c>
      <c r="C35" s="1505"/>
      <c r="D35" s="1506"/>
      <c r="E35" s="1506"/>
      <c r="F35" s="1507"/>
      <c r="G35" s="1505"/>
      <c r="H35" s="1506"/>
      <c r="I35" s="1507"/>
      <c r="K35" s="1524"/>
      <c r="L35" s="1525"/>
      <c r="M35" s="1525"/>
      <c r="N35" s="1525"/>
      <c r="O35" s="1526"/>
      <c r="P35" s="508"/>
    </row>
    <row r="36" spans="1:18" ht="45" customHeight="1" x14ac:dyDescent="0.2">
      <c r="A36" s="509">
        <v>17</v>
      </c>
      <c r="B36" s="581" t="str">
        <f>IF('Purchase Order SCRAFT'!B23="","",'Purchase Order SCRAFT'!B23)</f>
        <v/>
      </c>
      <c r="C36" s="1505"/>
      <c r="D36" s="1506"/>
      <c r="E36" s="1506"/>
      <c r="F36" s="1507"/>
      <c r="G36" s="1505"/>
      <c r="H36" s="1506"/>
      <c r="I36" s="1507"/>
      <c r="K36" s="1524"/>
      <c r="L36" s="1525"/>
      <c r="M36" s="1525"/>
      <c r="N36" s="1525"/>
      <c r="O36" s="1526"/>
      <c r="P36" s="508"/>
    </row>
    <row r="37" spans="1:18" ht="45" customHeight="1" x14ac:dyDescent="0.2">
      <c r="A37" s="509">
        <v>18</v>
      </c>
      <c r="B37" s="581" t="str">
        <f>IF('Purchase Order SCRAFT'!B24="","",'Purchase Order SCRAFT'!B24)</f>
        <v/>
      </c>
      <c r="C37" s="1505"/>
      <c r="D37" s="1506"/>
      <c r="E37" s="1506"/>
      <c r="F37" s="1507"/>
      <c r="G37" s="1505"/>
      <c r="H37" s="1506"/>
      <c r="I37" s="1507"/>
      <c r="K37" s="1524"/>
      <c r="L37" s="1525"/>
      <c r="M37" s="1525"/>
      <c r="N37" s="1525"/>
      <c r="O37" s="1526"/>
      <c r="P37" s="508"/>
    </row>
    <row r="38" spans="1:18" ht="45" customHeight="1" x14ac:dyDescent="0.2">
      <c r="A38" s="509">
        <v>19</v>
      </c>
      <c r="B38" s="581" t="str">
        <f>IF('Purchase Order SCRAFT'!B25="","",'Purchase Order SCRAFT'!B25)</f>
        <v/>
      </c>
      <c r="C38" s="1505"/>
      <c r="D38" s="1506"/>
      <c r="E38" s="1506"/>
      <c r="F38" s="1507"/>
      <c r="G38" s="1505"/>
      <c r="H38" s="1506"/>
      <c r="I38" s="1507"/>
      <c r="K38" s="1524"/>
      <c r="L38" s="1525"/>
      <c r="M38" s="1525"/>
      <c r="N38" s="1525"/>
      <c r="O38" s="1526"/>
      <c r="P38" s="508"/>
    </row>
    <row r="39" spans="1:18" ht="45" customHeight="1" x14ac:dyDescent="0.2">
      <c r="A39" s="509">
        <v>20</v>
      </c>
      <c r="B39" s="581" t="str">
        <f>IF('Purchase Order SCRAFT'!B26="","",'Purchase Order SCRAFT'!B26)</f>
        <v/>
      </c>
      <c r="C39" s="1505"/>
      <c r="D39" s="1506"/>
      <c r="E39" s="1506"/>
      <c r="F39" s="1507"/>
      <c r="G39" s="1505"/>
      <c r="H39" s="1506"/>
      <c r="I39" s="1507"/>
      <c r="K39" s="1530"/>
      <c r="L39" s="1531"/>
      <c r="M39" s="1531"/>
      <c r="N39" s="1531"/>
      <c r="O39" s="1532"/>
      <c r="P39" s="508"/>
    </row>
    <row r="40" spans="1:18" ht="45" customHeight="1" x14ac:dyDescent="0.2">
      <c r="A40" s="583">
        <v>21</v>
      </c>
      <c r="B40" s="581" t="str">
        <f>IF('Purchase Order SCRAFT'!M55="","","Battens")</f>
        <v>Battens</v>
      </c>
      <c r="C40" s="1505"/>
      <c r="D40" s="1506"/>
      <c r="E40" s="1506"/>
      <c r="F40" s="1507"/>
      <c r="G40" s="1505"/>
      <c r="H40" s="1506"/>
      <c r="I40" s="1507"/>
      <c r="K40" s="1527"/>
      <c r="L40" s="1528"/>
      <c r="M40" s="1528"/>
      <c r="N40" s="1528"/>
      <c r="O40" s="1529"/>
      <c r="P40" s="584"/>
    </row>
    <row r="41" spans="1:18" x14ac:dyDescent="0.2">
      <c r="A41" s="531"/>
      <c r="B41" s="531"/>
      <c r="C41" s="531"/>
      <c r="D41" s="531"/>
      <c r="E41" s="531"/>
      <c r="F41" s="531"/>
      <c r="G41" s="531"/>
      <c r="H41" s="531"/>
      <c r="I41" s="531"/>
      <c r="J41" s="1513" t="s">
        <v>406</v>
      </c>
      <c r="K41" s="1514"/>
      <c r="L41" s="1515"/>
      <c r="M41" s="1515"/>
      <c r="N41" s="1515"/>
      <c r="O41" s="1515"/>
      <c r="P41" s="1515"/>
      <c r="Q41" s="1515"/>
      <c r="R41" s="1516"/>
    </row>
    <row r="42" spans="1:18" x14ac:dyDescent="0.2">
      <c r="B42" s="521" t="s">
        <v>407</v>
      </c>
      <c r="C42" s="510"/>
      <c r="D42" s="521" t="s">
        <v>408</v>
      </c>
      <c r="E42" s="521"/>
      <c r="F42" s="521"/>
      <c r="G42" s="521"/>
      <c r="H42" s="521"/>
      <c r="I42" s="521"/>
      <c r="J42" s="1513"/>
      <c r="K42" s="1517"/>
      <c r="L42" s="1518"/>
      <c r="M42" s="1518"/>
      <c r="N42" s="1518"/>
      <c r="O42" s="1518"/>
      <c r="P42" s="1518"/>
      <c r="Q42" s="1518"/>
      <c r="R42" s="1519"/>
    </row>
    <row r="43" spans="1:18" x14ac:dyDescent="0.2">
      <c r="A43" s="521"/>
      <c r="B43" s="521"/>
      <c r="C43" s="521"/>
      <c r="D43" s="521"/>
      <c r="E43" s="521"/>
      <c r="F43" s="521"/>
      <c r="G43" s="521"/>
      <c r="H43" s="521"/>
      <c r="I43" s="521"/>
      <c r="K43" s="1517"/>
      <c r="L43" s="1518"/>
      <c r="M43" s="1518"/>
      <c r="N43" s="1518"/>
      <c r="O43" s="1518"/>
      <c r="P43" s="1518"/>
      <c r="Q43" s="1518"/>
      <c r="R43" s="1519"/>
    </row>
    <row r="44" spans="1:18" x14ac:dyDescent="0.2">
      <c r="A44" s="521"/>
      <c r="B44" s="521"/>
      <c r="C44" s="521"/>
      <c r="D44" s="521"/>
      <c r="E44" s="521"/>
      <c r="F44" s="532" t="s">
        <v>409</v>
      </c>
      <c r="G44" s="521"/>
      <c r="H44" s="521"/>
      <c r="I44" s="521"/>
      <c r="K44" s="1517"/>
      <c r="L44" s="1518"/>
      <c r="M44" s="1518"/>
      <c r="N44" s="1518"/>
      <c r="O44" s="1518"/>
      <c r="P44" s="1518"/>
      <c r="Q44" s="1518"/>
      <c r="R44" s="1519"/>
    </row>
    <row r="45" spans="1:18" x14ac:dyDescent="0.2">
      <c r="A45" s="521"/>
      <c r="B45" s="521"/>
      <c r="C45" s="521"/>
      <c r="D45" s="521"/>
      <c r="E45" s="521"/>
      <c r="F45" s="532" t="s">
        <v>410</v>
      </c>
      <c r="G45" s="521"/>
      <c r="H45" s="521"/>
      <c r="I45" s="521"/>
      <c r="K45" s="1520"/>
      <c r="L45" s="1521"/>
      <c r="M45" s="1521"/>
      <c r="N45" s="1521"/>
      <c r="O45" s="1521"/>
      <c r="P45" s="1521"/>
      <c r="Q45" s="1521"/>
      <c r="R45" s="1522"/>
    </row>
    <row r="46" spans="1:18" x14ac:dyDescent="0.2">
      <c r="G46" s="504"/>
    </row>
    <row r="47" spans="1:18" ht="18" hidden="1" customHeight="1" thickBot="1" x14ac:dyDescent="0.25">
      <c r="A47" s="1495" t="s">
        <v>411</v>
      </c>
      <c r="B47" s="1496"/>
      <c r="C47" s="1496"/>
      <c r="D47" s="1497"/>
      <c r="G47" s="511" t="s">
        <v>412</v>
      </c>
      <c r="H47" s="1491"/>
      <c r="I47" s="1492"/>
    </row>
    <row r="48" spans="1:18" ht="13.5" hidden="1" thickBot="1" x14ac:dyDescent="0.25">
      <c r="A48" s="512"/>
      <c r="B48" s="506"/>
      <c r="C48" s="506"/>
      <c r="D48" s="513"/>
      <c r="G48" s="514"/>
    </row>
    <row r="49" spans="1:9" ht="18" hidden="1" customHeight="1" thickBot="1" x14ac:dyDescent="0.25">
      <c r="A49" s="1498"/>
      <c r="B49" s="1499"/>
      <c r="C49" s="1499"/>
      <c r="D49" s="1500"/>
      <c r="G49" s="511" t="s">
        <v>413</v>
      </c>
      <c r="H49" s="1491"/>
      <c r="I49" s="1492"/>
    </row>
    <row r="50" spans="1:9" ht="13.5" hidden="1" thickBot="1" x14ac:dyDescent="0.25">
      <c r="A50" s="1498" t="s">
        <v>414</v>
      </c>
      <c r="B50" s="1499"/>
      <c r="C50" s="1499"/>
      <c r="D50" s="1500"/>
      <c r="G50" s="511"/>
    </row>
    <row r="51" spans="1:9" ht="18" hidden="1" customHeight="1" thickBot="1" x14ac:dyDescent="0.25">
      <c r="A51" s="1498" t="str">
        <f>IF(A49="Covered","Subject to factory approval.","")</f>
        <v/>
      </c>
      <c r="B51" s="1499"/>
      <c r="C51" s="1499"/>
      <c r="D51" s="1500"/>
      <c r="G51" s="511" t="s">
        <v>415</v>
      </c>
      <c r="H51" s="1491"/>
      <c r="I51" s="1492"/>
    </row>
    <row r="52" spans="1:9" ht="13.5" hidden="1" thickBot="1" x14ac:dyDescent="0.25">
      <c r="A52" s="1510" t="str">
        <f>IF(A49="Covered","Scraft will contact you if approval is not given","")</f>
        <v/>
      </c>
      <c r="B52" s="1511"/>
      <c r="C52" s="1511"/>
      <c r="D52" s="1512"/>
      <c r="G52" s="511"/>
    </row>
    <row r="53" spans="1:9" ht="18" hidden="1" customHeight="1" thickBot="1" x14ac:dyDescent="0.25">
      <c r="G53" s="511" t="s">
        <v>13</v>
      </c>
      <c r="H53" s="1491"/>
      <c r="I53" s="1492"/>
    </row>
    <row r="54" spans="1:9" ht="13.5" hidden="1" thickBot="1" x14ac:dyDescent="0.25">
      <c r="G54" s="511"/>
    </row>
    <row r="55" spans="1:9" ht="18" hidden="1" customHeight="1" thickBot="1" x14ac:dyDescent="0.25">
      <c r="G55" s="511" t="s">
        <v>416</v>
      </c>
      <c r="H55" s="1491"/>
      <c r="I55" s="1492"/>
    </row>
    <row r="56" spans="1:9" ht="13.5" hidden="1" thickBot="1" x14ac:dyDescent="0.25"/>
    <row r="57" spans="1:9" hidden="1" x14ac:dyDescent="0.2">
      <c r="A57" s="515"/>
      <c r="B57" s="516"/>
      <c r="C57" s="516"/>
      <c r="D57" s="516"/>
      <c r="E57" s="516"/>
      <c r="F57" s="516"/>
      <c r="G57" s="516"/>
      <c r="H57" s="516"/>
      <c r="I57" s="517"/>
    </row>
    <row r="58" spans="1:9" hidden="1" x14ac:dyDescent="0.2">
      <c r="A58" s="512"/>
      <c r="B58" s="506"/>
      <c r="C58" s="506" t="s">
        <v>417</v>
      </c>
      <c r="D58" s="506"/>
      <c r="E58" s="506"/>
      <c r="F58" s="506"/>
      <c r="G58" s="506"/>
      <c r="H58" s="506"/>
      <c r="I58" s="513"/>
    </row>
    <row r="59" spans="1:9" hidden="1" x14ac:dyDescent="0.2">
      <c r="A59" s="512"/>
      <c r="B59" s="506"/>
      <c r="C59" s="506" t="s">
        <v>418</v>
      </c>
      <c r="D59" s="506"/>
      <c r="E59" s="506">
        <f>H47</f>
        <v>0</v>
      </c>
      <c r="F59" s="506"/>
      <c r="G59" s="506"/>
      <c r="H59" s="506"/>
      <c r="I59" s="513"/>
    </row>
    <row r="60" spans="1:9" ht="13.5" hidden="1" thickBot="1" x14ac:dyDescent="0.25">
      <c r="A60" s="518"/>
      <c r="B60" s="519"/>
      <c r="C60" s="519"/>
      <c r="D60" s="519"/>
      <c r="E60" s="519"/>
      <c r="F60" s="519"/>
      <c r="G60" s="519"/>
      <c r="H60" s="519"/>
      <c r="I60" s="520"/>
    </row>
    <row r="61" spans="1:9" hidden="1" x14ac:dyDescent="0.2"/>
  </sheetData>
  <sheetProtection password="F46C" sheet="1" objects="1" scenarios="1"/>
  <customSheetViews>
    <customSheetView guid="{554C7132-FEB4-4016-AC1F-AA27B41C0DFC}" scale="75" hiddenColumns="1" topLeftCell="A13">
      <selection activeCell="G42" sqref="G42:H42"/>
      <pageMargins left="0.74803149606299213" right="0.74803149606299213" top="0.55000000000000004" bottom="1.58" header="0.51181102362204722" footer="0.51181102362204722"/>
      <pageSetup paperSize="9" scale="99" orientation="portrait" verticalDpi="1200" r:id="rId1"/>
      <headerFooter alignWithMargins="0">
        <oddFooter>&amp;R&amp;6Company Reg No. 4495750
VAT Reg No. GB 800 4677 51
Registered Office:
Newdown Farm, Micheldever
Winchester, Hampshire SO21 3BT
Shuttercraft Ltd.
(Trading as S:CRAFT)</oddFooter>
      </headerFooter>
    </customSheetView>
  </customSheetViews>
  <mergeCells count="84">
    <mergeCell ref="K40:O40"/>
    <mergeCell ref="K35:O35"/>
    <mergeCell ref="K36:O36"/>
    <mergeCell ref="K37:O37"/>
    <mergeCell ref="K38:O38"/>
    <mergeCell ref="K39:O39"/>
    <mergeCell ref="K33:O33"/>
    <mergeCell ref="K34:O34"/>
    <mergeCell ref="G28:I28"/>
    <mergeCell ref="G29:I29"/>
    <mergeCell ref="G30:I30"/>
    <mergeCell ref="G31:I31"/>
    <mergeCell ref="G32:I32"/>
    <mergeCell ref="G33:I33"/>
    <mergeCell ref="K28:O28"/>
    <mergeCell ref="K29:O29"/>
    <mergeCell ref="K30:O30"/>
    <mergeCell ref="K31:O31"/>
    <mergeCell ref="K32:O32"/>
    <mergeCell ref="C38:F38"/>
    <mergeCell ref="C39:F39"/>
    <mergeCell ref="C40:F40"/>
    <mergeCell ref="C31:F31"/>
    <mergeCell ref="G39:I39"/>
    <mergeCell ref="G36:I36"/>
    <mergeCell ref="G40:I40"/>
    <mergeCell ref="G37:I37"/>
    <mergeCell ref="G38:I38"/>
    <mergeCell ref="K27:O27"/>
    <mergeCell ref="A52:D52"/>
    <mergeCell ref="J41:J42"/>
    <mergeCell ref="K41:R45"/>
    <mergeCell ref="A50:D50"/>
    <mergeCell ref="C27:F27"/>
    <mergeCell ref="C28:F28"/>
    <mergeCell ref="C29:F29"/>
    <mergeCell ref="C30:F30"/>
    <mergeCell ref="C32:F32"/>
    <mergeCell ref="C33:F33"/>
    <mergeCell ref="C34:F34"/>
    <mergeCell ref="C35:F35"/>
    <mergeCell ref="C36:F36"/>
    <mergeCell ref="A51:D51"/>
    <mergeCell ref="C37:F37"/>
    <mergeCell ref="K24:O24"/>
    <mergeCell ref="K25:O25"/>
    <mergeCell ref="K26:O26"/>
    <mergeCell ref="C23:F23"/>
    <mergeCell ref="C24:F24"/>
    <mergeCell ref="C25:F25"/>
    <mergeCell ref="C26:F26"/>
    <mergeCell ref="G20:I20"/>
    <mergeCell ref="K20:O20"/>
    <mergeCell ref="K21:O21"/>
    <mergeCell ref="K22:O22"/>
    <mergeCell ref="K23:O23"/>
    <mergeCell ref="H53:I53"/>
    <mergeCell ref="H55:I55"/>
    <mergeCell ref="H47:I47"/>
    <mergeCell ref="G21:I21"/>
    <mergeCell ref="G22:I22"/>
    <mergeCell ref="G23:I23"/>
    <mergeCell ref="G24:I24"/>
    <mergeCell ref="G25:I25"/>
    <mergeCell ref="G34:I34"/>
    <mergeCell ref="G35:I35"/>
    <mergeCell ref="G26:I26"/>
    <mergeCell ref="G27:I27"/>
    <mergeCell ref="C3:I3"/>
    <mergeCell ref="H49:I49"/>
    <mergeCell ref="H51:I51"/>
    <mergeCell ref="H15:I15"/>
    <mergeCell ref="H5:I5"/>
    <mergeCell ref="H13:I13"/>
    <mergeCell ref="H11:I11"/>
    <mergeCell ref="H7:I7"/>
    <mergeCell ref="A47:D47"/>
    <mergeCell ref="A49:D49"/>
    <mergeCell ref="H9:I9"/>
    <mergeCell ref="C20:F20"/>
    <mergeCell ref="C21:F21"/>
    <mergeCell ref="C22:F22"/>
    <mergeCell ref="G19:I19"/>
    <mergeCell ref="C19:F19"/>
  </mergeCells>
  <phoneticPr fontId="65" type="noConversion"/>
  <conditionalFormatting sqref="H49:I49 H51:I51 H53:I53 H55:I55 H47:I47 H5:I5 H9:I9">
    <cfRule type="expression" dxfId="5" priority="1" stopIfTrue="1">
      <formula>SC_Order_No=""</formula>
    </cfRule>
  </conditionalFormatting>
  <conditionalFormatting sqref="C42 A49:D49 H11:I11">
    <cfRule type="cellIs" dxfId="4" priority="2" stopIfTrue="1" operator="equal">
      <formula>""</formula>
    </cfRule>
  </conditionalFormatting>
  <conditionalFormatting sqref="H7:I7">
    <cfRule type="cellIs" dxfId="3" priority="3" stopIfTrue="1" operator="equal">
      <formula>""</formula>
    </cfRule>
  </conditionalFormatting>
  <dataValidations count="4">
    <dataValidation type="list" allowBlank="1" showInputMessage="1" showErrorMessage="1" sqref="C42" xr:uid="{00000000-0002-0000-0300-000000000000}">
      <formula1>"requested,not requested"</formula1>
    </dataValidation>
    <dataValidation type="list" allowBlank="1" showInputMessage="1" showErrorMessage="1" sqref="A49:D49" xr:uid="{00000000-0002-0000-0300-000001000000}">
      <formula1>"COVERED (Subject to factory approval),NOT COVERED"</formula1>
    </dataValidation>
    <dataValidation type="list" allowBlank="1" showInputMessage="1" showErrorMessage="1" sqref="H47:I47" xr:uid="{00000000-0002-0000-0300-000002000000}">
      <formula1>"Sea,Air"</formula1>
    </dataValidation>
    <dataValidation type="list" allowBlank="1" showInputMessage="1" showErrorMessage="1" sqref="F58" xr:uid="{00000000-0002-0000-0300-000003000000}">
      <formula1>"S:CRAFT,Nienmade"</formula1>
    </dataValidation>
  </dataValidations>
  <pageMargins left="0.25" right="0.25" top="0.75" bottom="0.75" header="0.3" footer="0.3"/>
  <pageSetup paperSize="9" scale="75" orientation="portrait" verticalDpi="1200" r:id="rId2"/>
  <headerFooter alignWithMargins="0">
    <oddFooter>&amp;R&amp;6Company Reg No. 4495750
VAT Reg No. GB 800 4677 51
Registered Office:
Newdown Farm, Micheldever
Winchester, Hampshire SO21 3BT
Shuttercraft Ltd.
(Trading as S:CRAFT)</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Z142"/>
  <sheetViews>
    <sheetView topLeftCell="CA1" zoomScale="75" workbookViewId="0">
      <selection sqref="A1:BZ1048576"/>
    </sheetView>
  </sheetViews>
  <sheetFormatPr defaultRowHeight="15" x14ac:dyDescent="0.2"/>
  <cols>
    <col min="1" max="1" width="8.88671875" hidden="1" customWidth="1"/>
    <col min="2" max="2" width="17" hidden="1" customWidth="1"/>
    <col min="3" max="3" width="11.77734375" hidden="1" customWidth="1"/>
    <col min="4" max="4" width="8.88671875" hidden="1" customWidth="1"/>
    <col min="5" max="5" width="9" hidden="1" customWidth="1"/>
    <col min="6" max="6" width="15.21875" hidden="1" customWidth="1"/>
    <col min="7" max="7" width="10.88671875" hidden="1" customWidth="1"/>
    <col min="8" max="8" width="11.88671875" hidden="1" customWidth="1"/>
    <col min="9" max="9" width="10" hidden="1" customWidth="1"/>
    <col min="10" max="10" width="11.77734375" hidden="1" customWidth="1"/>
    <col min="11" max="11" width="9.6640625" hidden="1" customWidth="1"/>
    <col min="12" max="13" width="13" hidden="1" customWidth="1"/>
    <col min="14" max="14" width="15.5546875" hidden="1" customWidth="1"/>
    <col min="15" max="15" width="15.44140625" hidden="1" customWidth="1"/>
    <col min="16" max="16" width="11.88671875" hidden="1" customWidth="1"/>
    <col min="17" max="17" width="12.77734375" hidden="1" customWidth="1"/>
    <col min="18" max="18" width="16.44140625" hidden="1" customWidth="1"/>
    <col min="19" max="19" width="18.77734375" hidden="1" customWidth="1"/>
    <col min="20" max="20" width="10.21875" hidden="1" customWidth="1"/>
    <col min="21" max="78" width="8.88671875" hidden="1" customWidth="1"/>
  </cols>
  <sheetData>
    <row r="1" spans="1:32" ht="15.75" x14ac:dyDescent="0.25">
      <c r="E1" s="1533" t="s">
        <v>41</v>
      </c>
      <c r="F1" s="1533"/>
      <c r="G1" s="17">
        <v>0.375</v>
      </c>
      <c r="H1" s="1533" t="s">
        <v>302</v>
      </c>
      <c r="I1" s="1533" t="s">
        <v>301</v>
      </c>
      <c r="J1" s="426">
        <v>0</v>
      </c>
    </row>
    <row r="2" spans="1:32" x14ac:dyDescent="0.2">
      <c r="F2" s="34" t="s">
        <v>256</v>
      </c>
      <c r="G2" s="328">
        <v>0</v>
      </c>
      <c r="H2" s="971">
        <v>1</v>
      </c>
      <c r="I2" t="str">
        <f>IF(DeliveryAddressChoice=2,"Alternative","Normal")</f>
        <v>Normal</v>
      </c>
      <c r="J2" s="348">
        <v>40546</v>
      </c>
      <c r="K2" s="502">
        <f>J2</f>
        <v>40546</v>
      </c>
    </row>
    <row r="3" spans="1:32" x14ac:dyDescent="0.2">
      <c r="F3" t="s">
        <v>311</v>
      </c>
      <c r="G3" s="349">
        <f ca="1">IF(AND(TODAY()&gt;=PromoStartDate,TODAY()&lt;=Promo_End_Date),VLOOKUP(wood_type,PromoDiscounts,3,FALSE),0)</f>
        <v>0</v>
      </c>
      <c r="H3" s="348">
        <v>40379</v>
      </c>
      <c r="I3" s="348">
        <v>40451</v>
      </c>
    </row>
    <row r="4" spans="1:32" ht="15.75" thickBot="1" x14ac:dyDescent="0.25">
      <c r="F4" t="s">
        <v>388</v>
      </c>
      <c r="G4" s="348">
        <v>42020</v>
      </c>
      <c r="O4" s="176" t="str">
        <f ca="1">IF(ISERR(Q7*(1-$G$1)),"POA","Err")</f>
        <v>Err</v>
      </c>
      <c r="P4" s="132">
        <f ca="1">D7+E7</f>
        <v>269.93736000000001</v>
      </c>
    </row>
    <row r="5" spans="1:32" ht="15.75" thickBot="1" x14ac:dyDescent="0.25">
      <c r="E5" s="331"/>
      <c r="F5" s="1534" t="s">
        <v>133</v>
      </c>
      <c r="G5" s="1535"/>
      <c r="O5" s="132"/>
    </row>
    <row r="6" spans="1:32" ht="15.75" thickBot="1" x14ac:dyDescent="0.25">
      <c r="A6" s="10" t="s">
        <v>31</v>
      </c>
      <c r="B6" s="11" t="s">
        <v>0</v>
      </c>
      <c r="C6" s="10" t="s">
        <v>43</v>
      </c>
      <c r="D6" s="12" t="s">
        <v>42</v>
      </c>
      <c r="E6" s="211" t="s">
        <v>638</v>
      </c>
      <c r="F6" s="211" t="s">
        <v>190</v>
      </c>
      <c r="G6" s="211" t="s">
        <v>191</v>
      </c>
      <c r="H6" s="13" t="s">
        <v>67</v>
      </c>
      <c r="I6" s="13" t="s">
        <v>324</v>
      </c>
      <c r="J6" s="13" t="s">
        <v>122</v>
      </c>
      <c r="K6" s="13" t="s">
        <v>116</v>
      </c>
      <c r="L6" s="13" t="s">
        <v>117</v>
      </c>
      <c r="M6" s="13" t="s">
        <v>68</v>
      </c>
      <c r="N6" s="13" t="s">
        <v>351</v>
      </c>
      <c r="O6" s="13" t="s">
        <v>260</v>
      </c>
      <c r="P6" s="13" t="s">
        <v>332</v>
      </c>
      <c r="Q6" s="13" t="s">
        <v>73</v>
      </c>
      <c r="R6" s="13" t="s">
        <v>531</v>
      </c>
      <c r="S6" s="13" t="s">
        <v>532</v>
      </c>
      <c r="T6" s="13" t="s">
        <v>298</v>
      </c>
      <c r="U6" s="13" t="s">
        <v>46</v>
      </c>
      <c r="V6" s="13" t="s">
        <v>45</v>
      </c>
      <c r="W6" s="14" t="s">
        <v>44</v>
      </c>
    </row>
    <row r="7" spans="1:32" x14ac:dyDescent="0.2">
      <c r="A7" s="240">
        <v>1</v>
      </c>
      <c r="B7" s="240" t="str">
        <f>'Purchase Order SCRAFT'!X55</f>
        <v xml:space="preserve">Bed 2 </v>
      </c>
      <c r="C7" s="241">
        <f>IF(ISERR(SUM(('Purchase Order SCRAFT'!F7/1000)*('Purchase Order SCRAFT'!G7/1000))),0,SUM(('Purchase Order SCRAFT'!F7/1000)*('Purchase Order SCRAFT'!G7/1000)))</f>
        <v>1.60677</v>
      </c>
      <c r="D7" s="242">
        <f ca="1">IF('Purchase Order SCRAFT'!Z7="",0,IF(Form_Type="Frame",0,IF(RIGHT('Purchase Order SCRAFT'!Z7,1)=")",VLOOKUP("Custom Colour",colourpricetab,2, FALSE)*C7,VLOOKUP('Purchase Order SCRAFT'!Z7,colourpricetab,2,FALSE)*C7)))</f>
        <v>269.93736000000001</v>
      </c>
      <c r="E7" s="243">
        <f ca="1">IF(ISNA(VLOOKUP('Purchase Order SCRAFT'!C7,ShapePriceTab,1,FALSE)),0,VLOOKUP('Purchase Order SCRAFT'!C7,ShapePriceTab,2,FALSE)+(IF(F53&gt;2,(F53-2)*VLOOKUP('Purchase Order SCRAFT'!C7,StandardShapes,3,FALSE),0)))</f>
        <v>0</v>
      </c>
      <c r="F7" s="242">
        <f ca="1">IF(OR('Purchase Order SCRAFT'!C7="",E7&gt;0),0,IF(VLOOKUP('Purchase Order SCRAFT'!C7,M_T_PriceTab,2,FALSE)="POA","POA",VLOOKUP('Purchase Order SCRAFT'!C7,M_T_PriceTab,2,FALSE)*IF(prefix="ss_",1,('Purchase Order SCRAFT'!F7/1000))))</f>
        <v>0</v>
      </c>
      <c r="G7" s="242">
        <f ca="1">IF('Purchase Order SCRAFT'!C7="",0,IF(Form_Type="OP",0,IF(Form_Type="EX",0,IF(Form_Type="Frame",(VLOOKUP('Purchase Order SCRAFT'!Q7,FramePriceTab,3,FALSE)*P75)+(VLOOKUP('Purchase Order SCRAFT'!C31,TPostPriceTab,2,FALSE)*'Pricing and calculations'!Q75)+IF(LEFT('Purchase Order SCRAFT'!D31,6)="Custom",12.5*('Purchase Order SCRAFT'!F7/1000)*('Purchase Order SCRAFT'!G7/1000),0),(VLOOKUP('Purchase Order SCRAFT'!Q7,FramePriceTab,2,FALSE)*L75*('Purchase Order SCRAFT'!G7/1000))+IF(LEFT('Purchase Order SCRAFT'!D31,6)="Custom",12.5*('Purchase Order SCRAFT'!F7/1000)*('Purchase Order SCRAFT'!G7/1000),0)))))</f>
        <v>0</v>
      </c>
      <c r="H7" s="242">
        <f ca="1">IF('Purchase Order SCRAFT'!M7="",0,IF(Form_Type="EX",0,VLOOKUP('Purchase Order SCRAFT'!M7,LvTransTab,2,FALSE)*C7))</f>
        <v>0</v>
      </c>
      <c r="I7" s="243">
        <f>IF(Form_Type="EX",0,'Purchase Order SCRAFT'!Y7*3)</f>
        <v>0</v>
      </c>
      <c r="J7" s="243">
        <f>IF(RIGHT('Purchase Order SCRAFT'!M7,4)="RC S",IF(AND(prefix&lt;&gt;"ss_",'Purchase Order SCRAFT'!E7=""),"POA",G53*RC_Solar_Cost),IF(RIGHT('Purchase Order SCRAFT'!M7,4)="RC B",IF('Purchase Order SCRAFT'!E7="","POA",G53*RC_Batt_Cost),0))</f>
        <v>0</v>
      </c>
      <c r="K7" s="242"/>
      <c r="L7" s="242">
        <f>IF(OR(prefix="ss_",'Purchase Order SCRAFT'!O7=""),0,VLOOKUP('Purchase Order SCRAFT'!O7,TiltRodPriceTab,2,FALSE)*C7)</f>
        <v>0</v>
      </c>
      <c r="M7" s="242">
        <f ca="1">IF('Purchase Order SCRAFT'!AC7="",0,VLOOKUP('Purchase Order SCRAFT'!AC7,hcPriceTab,2,FALSE)*C7)</f>
        <v>0</v>
      </c>
      <c r="N7" s="243" t="b">
        <f>IF(prefix="ss_",0,IF(LEFT('Purchase Order SCRAFT'!Q7,5)="Black",'Pricing and calculations'!C7*VLOOKUP('Purchase Order SCRAFT'!Q7,blackoutpricetab,4,FALSE)))</f>
        <v>0</v>
      </c>
      <c r="O7" s="243" t="b">
        <f>IF(OR('Purchase Order SCRAFT'!B7="",'Purchase Order SCRAFT'!C7="",'Purchase Order SCRAFT'!D7="",'Purchase Order SCRAFT'!E7="",'Purchase Order SCRAFT'!F7="",'Purchase Order SCRAFT'!G7="",'Purchase Order SCRAFT'!I7="",'Purchase Order SCRAFT'!J7="",'Purchase Order SCRAFT'!M7="",'Purchase Order SCRAFT'!O7="",'Purchase Order SCRAFT'!R7="",'Purchase Order SCRAFT'!V7="",'Purchase Order SCRAFT'!Y7="",'Purchase Order SCRAFT'!Z7="",'Purchase Order SCRAFT'!C31="",'Purchase Order SCRAFT'!AC7=""),FALSE,TRUE)</f>
        <v>0</v>
      </c>
      <c r="P7" s="243">
        <f ca="1">IF(AND(Form_Type&lt;&gt;"OP",Form_Type&lt;&gt;"EX"),IF(VLOOKUP('Purchase Order SCRAFT'!Q7,AdditionalFrameTab,2,FALSE)&gt;0,(D7+E7+G7+H7+I7+K7+L7+M7)*5%,0),0)</f>
        <v>13.496868000000001</v>
      </c>
      <c r="Q7" s="244">
        <f ca="1">IF(C7=0,IF(LEFT('Purchase Order SCRAFT'!C7,3)="Top",G7*('Purchase Order SCRAFT'!F7/1000)*V7,""),IF(ISERR(D7+E7+F7+G7+H7+I7+J7+K7+L7+M7+N7+W75),"POA",SUM(D7:P7)+W75))</f>
        <v>283.43422800000002</v>
      </c>
      <c r="R7" s="244">
        <f ca="1">Q7-S7</f>
        <v>283.43422800000002</v>
      </c>
      <c r="S7" s="676">
        <f>I7+J7+N7</f>
        <v>0</v>
      </c>
      <c r="T7" s="424">
        <f t="shared" ref="T7:T26" ca="1" si="0">IF(TODAY()&lt;=$I$3,ItemsTrade*$G$3,0)</f>
        <v>0</v>
      </c>
      <c r="U7" s="243">
        <f t="shared" ref="U7:U26" ca="1" si="1">IF(Q7="","",IF(prefix="ss_",Q7,IF(ISERR(ItemsDiscounted*(1-$G$1)),"POA",((ItemsDiscounted-(T7))*(1-$G$1))+(ItemsAtCost))))</f>
        <v>177.14639250000002</v>
      </c>
      <c r="V7" s="245">
        <f>'Purchase Order SCRAFT'!D7</f>
        <v>1</v>
      </c>
      <c r="W7" s="246">
        <f t="shared" ref="W7:W26" ca="1" si="2">IF(Q7="",0,IF(ISERR(SUM(U7*V7)),"POA",SUM(U7*V7)))</f>
        <v>177.14639250000002</v>
      </c>
    </row>
    <row r="8" spans="1:32" x14ac:dyDescent="0.2">
      <c r="A8" s="4">
        <v>2</v>
      </c>
      <c r="B8" s="4" t="str">
        <f>'Purchase Order SCRAFT'!X56</f>
        <v>Bed1</v>
      </c>
      <c r="C8" s="247">
        <f>IF(ISERR(SUM(('Purchase Order SCRAFT'!F8/1000)*('Purchase Order SCRAFT'!G8/1000))),0,SUM(('Purchase Order SCRAFT'!F8/1000)*('Purchase Order SCRAFT'!G8/1000)))</f>
        <v>2.7838499999999997</v>
      </c>
      <c r="D8" s="243">
        <f ca="1">IF('Purchase Order SCRAFT'!Z8="",0,IF(Form_Type="Frame",0,IF(RIGHT('Purchase Order SCRAFT'!Z8,1)=")",VLOOKUP("Custom Colour",colourpricetab,2, FALSE)*C8,VLOOKUP('Purchase Order SCRAFT'!Z8,colourpricetab,2,FALSE)*C8)))</f>
        <v>467.68679999999995</v>
      </c>
      <c r="E8" s="243">
        <f ca="1">IF(ISNA(VLOOKUP('Purchase Order SCRAFT'!C8,ShapePriceTab,1,FALSE)),0,VLOOKUP('Purchase Order SCRAFT'!C8,ShapePriceTab,2,FALSE)+(IF(F54&gt;2,(F54-2)*VLOOKUP('Purchase Order SCRAFT'!C8,StandardShapes,3,FALSE),0)))</f>
        <v>0</v>
      </c>
      <c r="F8" s="243">
        <f ca="1">IF(OR('Purchase Order SCRAFT'!C8="",E8&gt;0),0,IF(VLOOKUP('Purchase Order SCRAFT'!C8,M_T_PriceTab,2,FALSE)="POA","POA",VLOOKUP('Purchase Order SCRAFT'!C8,M_T_PriceTab,2,FALSE)*IF(prefix="ss_",1,('Purchase Order SCRAFT'!F8/1000))))</f>
        <v>0</v>
      </c>
      <c r="G8" s="243">
        <f ca="1">IF('Purchase Order SCRAFT'!C8="",0,IF(Form_Type="OP",0,IF(Form_Type="EX",0,IF(Form_Type="Frame",(VLOOKUP('Purchase Order SCRAFT'!Q8,FramePriceTab,3,FALSE)*P76)+(VLOOKUP('Purchase Order SCRAFT'!C32,TPostPriceTab,2,FALSE)*'Pricing and calculations'!Q76)+IF(LEFT('Purchase Order SCRAFT'!D32,6)="Custom",12.5*('Purchase Order SCRAFT'!F8/1000)*('Purchase Order SCRAFT'!G8/1000),0),(VLOOKUP('Purchase Order SCRAFT'!Q8,FramePriceTab,2,FALSE)*L76*('Purchase Order SCRAFT'!G8/1000))+IF(LEFT('Purchase Order SCRAFT'!D32,6)="Custom",12.5*('Purchase Order SCRAFT'!F8/1000)*('Purchase Order SCRAFT'!G8/1000),0)))))</f>
        <v>0</v>
      </c>
      <c r="H8" s="243">
        <f ca="1">IF('Purchase Order SCRAFT'!M8="",0,IF(Form_Type="EX",0,VLOOKUP('Purchase Order SCRAFT'!M8,LvTransTab,2,FALSE)*C8))</f>
        <v>0</v>
      </c>
      <c r="I8" s="243">
        <f>IF(Form_Type="EX",0,'Purchase Order SCRAFT'!Y8*3)</f>
        <v>0</v>
      </c>
      <c r="J8" s="243">
        <f>IF(RIGHT('Purchase Order SCRAFT'!M8,4)="RC S",IF(AND(prefix&lt;&gt;"ss_",'Purchase Order SCRAFT'!E8=""),"POA",G54*RC_Solar_Cost),IF(RIGHT('Purchase Order SCRAFT'!M8,4)="RC B",IF('Purchase Order SCRAFT'!E8="","POA",G54*RC_Batt_Cost),0))</f>
        <v>0</v>
      </c>
      <c r="K8" s="243"/>
      <c r="L8" s="243">
        <f>IF(OR(prefix="ss_",'Purchase Order SCRAFT'!O8=""),0,VLOOKUP('Purchase Order SCRAFT'!O8,TiltRodPriceTab,2,FALSE)*C8)</f>
        <v>0</v>
      </c>
      <c r="M8" s="243">
        <f ca="1">IF('Purchase Order SCRAFT'!AC8="",0,VLOOKUP('Purchase Order SCRAFT'!AC8,hcPriceTab,2,FALSE)*C8)</f>
        <v>0</v>
      </c>
      <c r="N8" s="243" t="b">
        <f>IF(prefix="ss_",0,IF(LEFT('Purchase Order SCRAFT'!Q8,5)="Black",'Pricing and calculations'!C8*VLOOKUP('Purchase Order SCRAFT'!Q8,blackoutpricetab,4,FALSE)))</f>
        <v>0</v>
      </c>
      <c r="O8" s="243" t="b">
        <f>IF(OR('Purchase Order SCRAFT'!B8="",'Purchase Order SCRAFT'!C8="",'Purchase Order SCRAFT'!D8="",'Purchase Order SCRAFT'!E8="",'Purchase Order SCRAFT'!F8="",'Purchase Order SCRAFT'!G8="",'Purchase Order SCRAFT'!I8="",'Purchase Order SCRAFT'!J8="",'Purchase Order SCRAFT'!M8="",'Purchase Order SCRAFT'!O8="",'Purchase Order SCRAFT'!R8="",'Purchase Order SCRAFT'!V8="",'Purchase Order SCRAFT'!Y8="",'Purchase Order SCRAFT'!Z8="",'Purchase Order SCRAFT'!C32="",'Purchase Order SCRAFT'!AC8=""),FALSE,TRUE)</f>
        <v>0</v>
      </c>
      <c r="P8" s="243">
        <f ca="1">IF(AND(Form_Type&lt;&gt;"OP",Form_Type&lt;&gt;"EX"),IF(VLOOKUP('Purchase Order SCRAFT'!Q8,AdditionalFrameTab,2,FALSE)&gt;0,(D8+E8+G8+H8+I8+K8+L8+M8)*5%,0),0)</f>
        <v>23.384339999999998</v>
      </c>
      <c r="Q8" s="244">
        <f ca="1">IF(C8=0,IF(LEFT('Purchase Order SCRAFT'!C8,3)="Top",G8*('Purchase Order SCRAFT'!F8/1000)*V8,""),IF(ISERR(D8+E8+F8+G8+H8+I8+J8+K8+L8+M8+N8+W76),"POA",SUM(D8:P8)+W76))</f>
        <v>491.07113999999996</v>
      </c>
      <c r="R8" s="244">
        <f t="shared" ref="R8:R26" ca="1" si="3">Q8-S8</f>
        <v>491.07113999999996</v>
      </c>
      <c r="S8" s="675">
        <f t="shared" ref="S8:S26" si="4">I8+J8+N8</f>
        <v>0</v>
      </c>
      <c r="T8" s="424">
        <f t="shared" ca="1" si="0"/>
        <v>0</v>
      </c>
      <c r="U8" s="243">
        <f t="shared" ca="1" si="1"/>
        <v>306.91946249999995</v>
      </c>
      <c r="V8" s="248">
        <f>'Purchase Order SCRAFT'!D8</f>
        <v>1</v>
      </c>
      <c r="W8" s="249">
        <f t="shared" ca="1" si="2"/>
        <v>306.91946249999995</v>
      </c>
    </row>
    <row r="9" spans="1:32" x14ac:dyDescent="0.2">
      <c r="A9" s="4">
        <v>3</v>
      </c>
      <c r="B9" s="4" t="str">
        <f>'Purchase Order SCRAFT'!X57</f>
        <v xml:space="preserve">Dressing Room </v>
      </c>
      <c r="C9" s="247">
        <f>IF(ISERR(SUM(('Purchase Order SCRAFT'!F9/1000)*('Purchase Order SCRAFT'!G9/1000))),0,SUM(('Purchase Order SCRAFT'!F9/1000)*('Purchase Order SCRAFT'!G9/1000)))</f>
        <v>1.7051500000000002</v>
      </c>
      <c r="D9" s="243">
        <f ca="1">IF('Purchase Order SCRAFT'!Z9="",0,IF(Form_Type="Frame",0,IF(RIGHT('Purchase Order SCRAFT'!Z9,1)=")",VLOOKUP("Custom Colour",colourpricetab,2, FALSE)*C9,VLOOKUP('Purchase Order SCRAFT'!Z9,colourpricetab,2,FALSE)*C9)))</f>
        <v>286.46520000000004</v>
      </c>
      <c r="E9" s="243">
        <f ca="1">IF(ISNA(VLOOKUP('Purchase Order SCRAFT'!C9,ShapePriceTab,1,FALSE)),0,VLOOKUP('Purchase Order SCRAFT'!C9,ShapePriceTab,2,FALSE)+(IF(F55&gt;2,(F55-2)*VLOOKUP('Purchase Order SCRAFT'!C9,StandardShapes,3,FALSE),0)))</f>
        <v>0</v>
      </c>
      <c r="F9" s="243">
        <f ca="1">IF(OR('Purchase Order SCRAFT'!C9="",E9&gt;0),0,IF(VLOOKUP('Purchase Order SCRAFT'!C9,M_T_PriceTab,2,FALSE)="POA","POA",VLOOKUP('Purchase Order SCRAFT'!C9,M_T_PriceTab,2,FALSE)*IF(prefix="ss_",1,('Purchase Order SCRAFT'!F9/1000))))</f>
        <v>0</v>
      </c>
      <c r="G9" s="243">
        <f ca="1">IF('Purchase Order SCRAFT'!C9="",0,IF(Form_Type="OP",0,IF(Form_Type="EX",0,IF(Form_Type="Frame",(VLOOKUP('Purchase Order SCRAFT'!Q9,FramePriceTab,3,FALSE)*P77)+(VLOOKUP('Purchase Order SCRAFT'!C33,TPostPriceTab,2,FALSE)*'Pricing and calculations'!Q77)+IF(LEFT('Purchase Order SCRAFT'!D33,6)="Custom",12.5*('Purchase Order SCRAFT'!F9/1000)*('Purchase Order SCRAFT'!G9/1000),0),(VLOOKUP('Purchase Order SCRAFT'!Q9,FramePriceTab,2,FALSE)*L77*('Purchase Order SCRAFT'!G9/1000))+IF(LEFT('Purchase Order SCRAFT'!D33,6)="Custom",12.5*('Purchase Order SCRAFT'!F9/1000)*('Purchase Order SCRAFT'!G9/1000),0)))))</f>
        <v>0</v>
      </c>
      <c r="H9" s="243">
        <f ca="1">IF('Purchase Order SCRAFT'!M9="",0,IF(Form_Type="EX",0,VLOOKUP('Purchase Order SCRAFT'!M9,LvTransTab,2,FALSE)*C9))</f>
        <v>0</v>
      </c>
      <c r="I9" s="243">
        <f>IF(Form_Type="EX",0,'Purchase Order SCRAFT'!Y9*3)</f>
        <v>0</v>
      </c>
      <c r="J9" s="243">
        <f>IF(RIGHT('Purchase Order SCRAFT'!M9,4)="RC S",IF(AND(prefix&lt;&gt;"ss_",'Purchase Order SCRAFT'!E9=""),"POA",G55*RC_Solar_Cost),IF(RIGHT('Purchase Order SCRAFT'!M9,4)="RC B",IF('Purchase Order SCRAFT'!E9="","POA",G55*RC_Batt_Cost),0))</f>
        <v>0</v>
      </c>
      <c r="K9" s="243"/>
      <c r="L9" s="243">
        <f>IF(OR(prefix="ss_",'Purchase Order SCRAFT'!O9=""),0,VLOOKUP('Purchase Order SCRAFT'!O9,TiltRodPriceTab,2,FALSE)*C9)</f>
        <v>0</v>
      </c>
      <c r="M9" s="243">
        <f ca="1">IF('Purchase Order SCRAFT'!AC9="",0,VLOOKUP('Purchase Order SCRAFT'!AC9,hcPriceTab,2,FALSE)*C9)</f>
        <v>0</v>
      </c>
      <c r="N9" s="243" t="b">
        <f>IF(prefix="ss_",0,IF(LEFT('Purchase Order SCRAFT'!Q9,5)="Black",'Pricing and calculations'!C9*VLOOKUP('Purchase Order SCRAFT'!Q9,blackoutpricetab,4,FALSE)))</f>
        <v>0</v>
      </c>
      <c r="O9" s="243" t="b">
        <f>IF(OR('Purchase Order SCRAFT'!B9="",'Purchase Order SCRAFT'!C9="",'Purchase Order SCRAFT'!D9="",'Purchase Order SCRAFT'!E9="",'Purchase Order SCRAFT'!F9="",'Purchase Order SCRAFT'!G9="",'Purchase Order SCRAFT'!I9="",'Purchase Order SCRAFT'!J9="",'Purchase Order SCRAFT'!M9="",'Purchase Order SCRAFT'!O9="",'Purchase Order SCRAFT'!R9="",'Purchase Order SCRAFT'!V9="",'Purchase Order SCRAFT'!Y9="",'Purchase Order SCRAFT'!Z9="",'Purchase Order SCRAFT'!C33="",'Purchase Order SCRAFT'!AC9=""),FALSE,TRUE)</f>
        <v>0</v>
      </c>
      <c r="P9" s="243">
        <f>IF(AND(Form_Type&lt;&gt;"OP",Form_Type&lt;&gt;"EX"),IF(VLOOKUP('Purchase Order SCRAFT'!Q9,AdditionalFrameTab,2,FALSE)&gt;0,(D9+E9+G9+H9+I9+K9+L9+M9)*5%,0),0)</f>
        <v>0</v>
      </c>
      <c r="Q9" s="244">
        <f ca="1">IF(C9=0,IF(LEFT('Purchase Order SCRAFT'!C9,3)="Top",G9*('Purchase Order SCRAFT'!F9/1000)*V9,""),IF(ISERR(D9+E9+F9+G9+H9+I9+J9+K9+L9+M9+N9+W77),"POA",SUM(D9:P9)+W77))</f>
        <v>286.46520000000004</v>
      </c>
      <c r="R9" s="244">
        <f t="shared" ca="1" si="3"/>
        <v>286.46520000000004</v>
      </c>
      <c r="S9" s="675">
        <f t="shared" si="4"/>
        <v>0</v>
      </c>
      <c r="T9" s="424">
        <f t="shared" ca="1" si="0"/>
        <v>0</v>
      </c>
      <c r="U9" s="243">
        <f t="shared" ca="1" si="1"/>
        <v>179.04075000000003</v>
      </c>
      <c r="V9" s="248">
        <f>'Purchase Order SCRAFT'!D9</f>
        <v>1</v>
      </c>
      <c r="W9" s="249">
        <f t="shared" ca="1" si="2"/>
        <v>179.04075000000003</v>
      </c>
    </row>
    <row r="10" spans="1:32" x14ac:dyDescent="0.2">
      <c r="A10" s="4">
        <v>4</v>
      </c>
      <c r="B10" s="4" t="str">
        <f>'Purchase Order SCRAFT'!X58</f>
        <v xml:space="preserve">Front Door Panels </v>
      </c>
      <c r="C10" s="247">
        <f>IF(ISERR(SUM(('Purchase Order SCRAFT'!F10/1000)*('Purchase Order SCRAFT'!G10/1000))),0,SUM(('Purchase Order SCRAFT'!F10/1000)*('Purchase Order SCRAFT'!G10/1000)))</f>
        <v>0.45199999999999996</v>
      </c>
      <c r="D10" s="243">
        <f ca="1">IF('Purchase Order SCRAFT'!Z10="",0,IF(Form_Type="Frame",0,IF(RIGHT('Purchase Order SCRAFT'!Z10,1)=")",VLOOKUP("Custom Colour",colourpricetab,2, FALSE)*C10,VLOOKUP('Purchase Order SCRAFT'!Z10,colourpricetab,2,FALSE)*C10)))</f>
        <v>75.935999999999993</v>
      </c>
      <c r="E10" s="243">
        <f ca="1">IF(ISNA(VLOOKUP('Purchase Order SCRAFT'!C10,ShapePriceTab,1,FALSE)),0,VLOOKUP('Purchase Order SCRAFT'!C10,ShapePriceTab,2,FALSE)+(IF(F56&gt;2,(F56-2)*VLOOKUP('Purchase Order SCRAFT'!C10,StandardShapes,3,FALSE),0)))</f>
        <v>0</v>
      </c>
      <c r="F10" s="243">
        <f ca="1">IF(OR('Purchase Order SCRAFT'!C10="",E10&gt;0),0,IF(VLOOKUP('Purchase Order SCRAFT'!C10,M_T_PriceTab,2,FALSE)="POA","POA",VLOOKUP('Purchase Order SCRAFT'!C10,M_T_PriceTab,2,FALSE)*IF(prefix="ss_",1,('Purchase Order SCRAFT'!F10/1000))))</f>
        <v>0</v>
      </c>
      <c r="G10" s="243">
        <f ca="1">IF('Purchase Order SCRAFT'!C10="",0,IF(Form_Type="OP",0,IF(Form_Type="EX",0,IF(Form_Type="Frame",(VLOOKUP('Purchase Order SCRAFT'!Q10,FramePriceTab,3,FALSE)*P78)+(VLOOKUP('Purchase Order SCRAFT'!C34,TPostPriceTab,2,FALSE)*'Pricing and calculations'!Q78)+IF(LEFT('Purchase Order SCRAFT'!D34,6)="Custom",12.5*('Purchase Order SCRAFT'!F10/1000)*('Purchase Order SCRAFT'!G10/1000),0),(VLOOKUP('Purchase Order SCRAFT'!Q10,FramePriceTab,2,FALSE)*L78*('Purchase Order SCRAFT'!G10/1000))+IF(LEFT('Purchase Order SCRAFT'!D34,6)="Custom",12.5*('Purchase Order SCRAFT'!F10/1000)*('Purchase Order SCRAFT'!G10/1000),0)))))</f>
        <v>0</v>
      </c>
      <c r="H10" s="243">
        <f ca="1">IF('Purchase Order SCRAFT'!M10="",0,IF(Form_Type="EX",0,VLOOKUP('Purchase Order SCRAFT'!M10,LvTransTab,2,FALSE)*C10))</f>
        <v>0</v>
      </c>
      <c r="I10" s="243">
        <f>IF(Form_Type="EX",0,'Purchase Order SCRAFT'!Y10*3)</f>
        <v>0</v>
      </c>
      <c r="J10" s="243">
        <f>IF(RIGHT('Purchase Order SCRAFT'!M10,4)="RC S",IF(AND(prefix&lt;&gt;"ss_",'Purchase Order SCRAFT'!E10=""),"POA",G56*RC_Solar_Cost),IF(RIGHT('Purchase Order SCRAFT'!M10,4)="RC B",IF('Purchase Order SCRAFT'!E10="","POA",G56*RC_Batt_Cost),0))</f>
        <v>0</v>
      </c>
      <c r="K10" s="243"/>
      <c r="L10" s="243">
        <f>IF(OR(prefix="ss_",'Purchase Order SCRAFT'!O10=""),0,VLOOKUP('Purchase Order SCRAFT'!O10,TiltRodPriceTab,2,FALSE)*C10)</f>
        <v>0</v>
      </c>
      <c r="M10" s="243">
        <f ca="1">IF('Purchase Order SCRAFT'!AC10="",0,VLOOKUP('Purchase Order SCRAFT'!AC10,hcPriceTab,2,FALSE)*C10)</f>
        <v>0</v>
      </c>
      <c r="N10" s="243" t="b">
        <f>IF(prefix="ss_",0,IF(LEFT('Purchase Order SCRAFT'!Q10,5)="Black",'Pricing and calculations'!C10*VLOOKUP('Purchase Order SCRAFT'!Q10,blackoutpricetab,4,FALSE)))</f>
        <v>0</v>
      </c>
      <c r="O10" s="243" t="b">
        <f>IF(OR('Purchase Order SCRAFT'!B10="",'Purchase Order SCRAFT'!C10="",'Purchase Order SCRAFT'!D10="",'Purchase Order SCRAFT'!E10="",'Purchase Order SCRAFT'!F10="",'Purchase Order SCRAFT'!G10="",'Purchase Order SCRAFT'!I10="",'Purchase Order SCRAFT'!J10="",'Purchase Order SCRAFT'!M10="",'Purchase Order SCRAFT'!O10="",'Purchase Order SCRAFT'!R10="",'Purchase Order SCRAFT'!V10="",'Purchase Order SCRAFT'!Y10="",'Purchase Order SCRAFT'!Z10="",'Purchase Order SCRAFT'!C34="",'Purchase Order SCRAFT'!AC10=""),FALSE,TRUE)</f>
        <v>0</v>
      </c>
      <c r="P10" s="243">
        <f>IF(AND(Form_Type&lt;&gt;"OP",Form_Type&lt;&gt;"EX"),IF(VLOOKUP('Purchase Order SCRAFT'!Q10,AdditionalFrameTab,2,FALSE)&gt;0,(D10+E10+G10+H10+I10+K10+L10+M10)*5%,0),0)</f>
        <v>0</v>
      </c>
      <c r="Q10" s="244">
        <f ca="1">IF(C10=0,IF(LEFT('Purchase Order SCRAFT'!C10,3)="Top",G10*('Purchase Order SCRAFT'!F10/1000)*V10,""),IF(ISERR(D10+E10+F10+G10+H10+I10+J10+K10+L10+M10+N10+W78),"POA",SUM(D10:P10)+W78))</f>
        <v>75.935999999999993</v>
      </c>
      <c r="R10" s="244">
        <f t="shared" ca="1" si="3"/>
        <v>75.935999999999993</v>
      </c>
      <c r="S10" s="675">
        <f t="shared" si="4"/>
        <v>0</v>
      </c>
      <c r="T10" s="424">
        <f t="shared" ca="1" si="0"/>
        <v>0</v>
      </c>
      <c r="U10" s="243">
        <f t="shared" ca="1" si="1"/>
        <v>47.459999999999994</v>
      </c>
      <c r="V10" s="248">
        <f>'Purchase Order SCRAFT'!D10</f>
        <v>1</v>
      </c>
      <c r="W10" s="249">
        <f t="shared" ca="1" si="2"/>
        <v>47.459999999999994</v>
      </c>
    </row>
    <row r="11" spans="1:32" x14ac:dyDescent="0.2">
      <c r="A11" s="4">
        <v>5</v>
      </c>
      <c r="B11" s="4" t="str">
        <f>'Purchase Order SCRAFT'!X59</f>
        <v xml:space="preserve">Front Door Panels </v>
      </c>
      <c r="C11" s="247">
        <f>IF(ISERR(SUM(('Purchase Order SCRAFT'!F11/1000)*('Purchase Order SCRAFT'!G11/1000))),0,SUM(('Purchase Order SCRAFT'!F11/1000)*('Purchase Order SCRAFT'!G11/1000)))</f>
        <v>0.45199999999999996</v>
      </c>
      <c r="D11" s="243">
        <f ca="1">IF('Purchase Order SCRAFT'!Z11="",0,IF(Form_Type="Frame",0,IF(RIGHT('Purchase Order SCRAFT'!Z11,1)=")",VLOOKUP("Custom Colour",colourpricetab,2, FALSE)*C11,VLOOKUP('Purchase Order SCRAFT'!Z11,colourpricetab,2,FALSE)*C11)))</f>
        <v>75.935999999999993</v>
      </c>
      <c r="E11" s="243">
        <f ca="1">IF(ISNA(VLOOKUP('Purchase Order SCRAFT'!C11,ShapePriceTab,1,FALSE)),0,VLOOKUP('Purchase Order SCRAFT'!C11,ShapePriceTab,2,FALSE)+(IF(F57&gt;2,(F57-2)*VLOOKUP('Purchase Order SCRAFT'!C11,StandardShapes,3,FALSE),0)))</f>
        <v>0</v>
      </c>
      <c r="F11" s="243">
        <f ca="1">IF(OR('Purchase Order SCRAFT'!C11="",E11&gt;0),0,IF(VLOOKUP('Purchase Order SCRAFT'!C11,M_T_PriceTab,2,FALSE)="POA","POA",VLOOKUP('Purchase Order SCRAFT'!C11,M_T_PriceTab,2,FALSE)*IF(prefix="ss_",1,('Purchase Order SCRAFT'!F11/1000))))</f>
        <v>0</v>
      </c>
      <c r="G11" s="243">
        <f ca="1">IF('Purchase Order SCRAFT'!C11="",0,IF(Form_Type="OP",0,IF(Form_Type="EX",0,IF(Form_Type="Frame",(VLOOKUP('Purchase Order SCRAFT'!Q11,FramePriceTab,3,FALSE)*P79)+(VLOOKUP('Purchase Order SCRAFT'!C35,TPostPriceTab,2,FALSE)*'Pricing and calculations'!Q79)+IF(LEFT('Purchase Order SCRAFT'!D35,6)="Custom",12.5*('Purchase Order SCRAFT'!F11/1000)*('Purchase Order SCRAFT'!G11/1000),0),(VLOOKUP('Purchase Order SCRAFT'!Q11,FramePriceTab,2,FALSE)*L79*('Purchase Order SCRAFT'!G11/1000))+IF(LEFT('Purchase Order SCRAFT'!D35,6)="Custom",12.5*('Purchase Order SCRAFT'!F11/1000)*('Purchase Order SCRAFT'!G11/1000),0)))))</f>
        <v>0</v>
      </c>
      <c r="H11" s="243">
        <f ca="1">IF('Purchase Order SCRAFT'!M11="",0,IF(Form_Type="EX",0,VLOOKUP('Purchase Order SCRAFT'!M11,LvTransTab,2,FALSE)*C11))</f>
        <v>0</v>
      </c>
      <c r="I11" s="243">
        <f>IF(Form_Type="EX",0,'Purchase Order SCRAFT'!Y11*3)</f>
        <v>0</v>
      </c>
      <c r="J11" s="243">
        <f>IF(RIGHT('Purchase Order SCRAFT'!M11,4)="RC S",IF(AND(prefix&lt;&gt;"ss_",'Purchase Order SCRAFT'!E11=""),"POA",G57*RC_Solar_Cost),IF(RIGHT('Purchase Order SCRAFT'!M11,4)="RC B",IF('Purchase Order SCRAFT'!E11="","POA",G57*RC_Batt_Cost),0))</f>
        <v>0</v>
      </c>
      <c r="K11" s="243"/>
      <c r="L11" s="243">
        <f>IF(OR(prefix="ss_",'Purchase Order SCRAFT'!O11=""),0,VLOOKUP('Purchase Order SCRAFT'!O11,TiltRodPriceTab,2,FALSE)*C11)</f>
        <v>0</v>
      </c>
      <c r="M11" s="243">
        <f ca="1">IF('Purchase Order SCRAFT'!AC11="",0,VLOOKUP('Purchase Order SCRAFT'!AC11,hcPriceTab,2,FALSE)*C11)</f>
        <v>0</v>
      </c>
      <c r="N11" s="243" t="b">
        <f>IF(prefix="ss_",0,IF(LEFT('Purchase Order SCRAFT'!Q11,5)="Black",'Pricing and calculations'!C11*VLOOKUP('Purchase Order SCRAFT'!Q11,blackoutpricetab,4,FALSE)))</f>
        <v>0</v>
      </c>
      <c r="O11" s="243" t="b">
        <f>IF(OR('Purchase Order SCRAFT'!B11="",'Purchase Order SCRAFT'!C11="",'Purchase Order SCRAFT'!D11="",'Purchase Order SCRAFT'!E11="",'Purchase Order SCRAFT'!F11="",'Purchase Order SCRAFT'!G11="",'Purchase Order SCRAFT'!I11="",'Purchase Order SCRAFT'!J11="",'Purchase Order SCRAFT'!M11="",'Purchase Order SCRAFT'!O11="",'Purchase Order SCRAFT'!R11="",'Purchase Order SCRAFT'!V11="",'Purchase Order SCRAFT'!Y11="",'Purchase Order SCRAFT'!Z11="",'Purchase Order SCRAFT'!C35="",'Purchase Order SCRAFT'!AC11=""),FALSE,TRUE)</f>
        <v>0</v>
      </c>
      <c r="P11" s="243">
        <f>IF(AND(Form_Type&lt;&gt;"OP",Form_Type&lt;&gt;"EX"),IF(VLOOKUP('Purchase Order SCRAFT'!Q11,AdditionalFrameTab,2,FALSE)&gt;0,(D11+E11+G11+H11+I11+K11+L11+M11)*5%,0),0)</f>
        <v>0</v>
      </c>
      <c r="Q11" s="244">
        <f ca="1">IF(C11=0,IF(LEFT('Purchase Order SCRAFT'!C11,3)="Top",G11*('Purchase Order SCRAFT'!F11/1000)*V11,""),IF(ISERR(D11+E11+F11+G11+H11+I11+J11+K11+L11+M11+N11+W79),"POA",SUM(D11:P11)+W79))</f>
        <v>75.935999999999993</v>
      </c>
      <c r="R11" s="244">
        <f t="shared" ca="1" si="3"/>
        <v>75.935999999999993</v>
      </c>
      <c r="S11" s="675">
        <f t="shared" si="4"/>
        <v>0</v>
      </c>
      <c r="T11" s="424">
        <f t="shared" ca="1" si="0"/>
        <v>0</v>
      </c>
      <c r="U11" s="243">
        <f t="shared" ca="1" si="1"/>
        <v>47.459999999999994</v>
      </c>
      <c r="V11" s="248">
        <f>'Purchase Order SCRAFT'!D11</f>
        <v>1</v>
      </c>
      <c r="W11" s="249">
        <f t="shared" ca="1" si="2"/>
        <v>47.459999999999994</v>
      </c>
      <c r="AF11" s="210"/>
    </row>
    <row r="12" spans="1:32" x14ac:dyDescent="0.2">
      <c r="A12" s="4">
        <v>6</v>
      </c>
      <c r="B12" s="4" t="str">
        <f>'Purchase Order SCRAFT'!X60</f>
        <v>Study</v>
      </c>
      <c r="C12" s="247">
        <f>IF(ISERR(SUM(('Purchase Order SCRAFT'!F12/1000)*('Purchase Order SCRAFT'!G12/1000))),0,SUM(('Purchase Order SCRAFT'!F12/1000)*('Purchase Order SCRAFT'!G12/1000)))</f>
        <v>3.948</v>
      </c>
      <c r="D12" s="243">
        <f ca="1">IF('Purchase Order SCRAFT'!Z12="",0,IF(Form_Type="Frame",0,IF(RIGHT('Purchase Order SCRAFT'!Z12,1)=")",VLOOKUP("Custom Colour",colourpricetab,2, FALSE)*C12,VLOOKUP('Purchase Order SCRAFT'!Z12,colourpricetab,2,FALSE)*C12)))</f>
        <v>663.26400000000001</v>
      </c>
      <c r="E12" s="243">
        <f ca="1">IF(ISNA(VLOOKUP('Purchase Order SCRAFT'!C12,ShapePriceTab,1,FALSE)),0,VLOOKUP('Purchase Order SCRAFT'!C12,ShapePriceTab,2,FALSE)+(IF(F58&gt;2,(F58-2)*VLOOKUP('Purchase Order SCRAFT'!C12,StandardShapes,3,FALSE),0)))</f>
        <v>0</v>
      </c>
      <c r="F12" s="243">
        <f ca="1">IF(OR('Purchase Order SCRAFT'!C12="",E12&gt;0),0,IF(VLOOKUP('Purchase Order SCRAFT'!C12,M_T_PriceTab,2,FALSE)="POA","POA",VLOOKUP('Purchase Order SCRAFT'!C12,M_T_PriceTab,2,FALSE)*IF(prefix="ss_",1,('Purchase Order SCRAFT'!F12/1000))))</f>
        <v>101.52</v>
      </c>
      <c r="G12" s="243">
        <f ca="1">IF('Purchase Order SCRAFT'!C12="",0,IF(Form_Type="OP",0,IF(Form_Type="EX",0,IF(Form_Type="Frame",(VLOOKUP('Purchase Order SCRAFT'!Q12,FramePriceTab,3,FALSE)*P80)+(VLOOKUP('Purchase Order SCRAFT'!C36,TPostPriceTab,2,FALSE)*'Pricing and calculations'!Q80)+IF(LEFT('Purchase Order SCRAFT'!D36,6)="Custom",12.5*('Purchase Order SCRAFT'!F12/1000)*('Purchase Order SCRAFT'!G12/1000),0),(VLOOKUP('Purchase Order SCRAFT'!Q12,FramePriceTab,2,FALSE)*L80*('Purchase Order SCRAFT'!G12/1000))+IF(LEFT('Purchase Order SCRAFT'!D36,6)="Custom",12.5*('Purchase Order SCRAFT'!F12/1000)*('Purchase Order SCRAFT'!G12/1000),0)))))</f>
        <v>58.800000000000004</v>
      </c>
      <c r="H12" s="243">
        <f ca="1">IF('Purchase Order SCRAFT'!M12="",0,IF(Form_Type="EX",0,VLOOKUP('Purchase Order SCRAFT'!M12,LvTransTab,2,FALSE)*C12))</f>
        <v>0</v>
      </c>
      <c r="I12" s="243">
        <f>IF(Form_Type="EX",0,'Purchase Order SCRAFT'!Y12*3)</f>
        <v>0</v>
      </c>
      <c r="J12" s="243">
        <f>IF(RIGHT('Purchase Order SCRAFT'!M12,4)="RC S",IF(AND(prefix&lt;&gt;"ss_",'Purchase Order SCRAFT'!E12=""),"POA",G58*RC_Solar_Cost),IF(RIGHT('Purchase Order SCRAFT'!M12,4)="RC B",IF('Purchase Order SCRAFT'!E12="","POA",G58*RC_Batt_Cost),0))</f>
        <v>0</v>
      </c>
      <c r="K12" s="243"/>
      <c r="L12" s="243">
        <f>IF(OR(prefix="ss_",'Purchase Order SCRAFT'!O12=""),0,VLOOKUP('Purchase Order SCRAFT'!O12,TiltRodPriceTab,2,FALSE)*C12)</f>
        <v>0</v>
      </c>
      <c r="M12" s="243">
        <f ca="1">IF('Purchase Order SCRAFT'!AC12="",0,VLOOKUP('Purchase Order SCRAFT'!AC12,hcPriceTab,2,FALSE)*C12)</f>
        <v>0</v>
      </c>
      <c r="N12" s="243" t="b">
        <f>IF(prefix="ss_",0,IF(LEFT('Purchase Order SCRAFT'!Q12,5)="Black",'Pricing and calculations'!C12*VLOOKUP('Purchase Order SCRAFT'!Q12,blackoutpricetab,4,FALSE)))</f>
        <v>0</v>
      </c>
      <c r="O12" s="243" t="b">
        <f>IF(OR('Purchase Order SCRAFT'!B12="",'Purchase Order SCRAFT'!C12="",'Purchase Order SCRAFT'!D12="",'Purchase Order SCRAFT'!E12="",'Purchase Order SCRAFT'!F12="",'Purchase Order SCRAFT'!G12="",'Purchase Order SCRAFT'!I12="",'Purchase Order SCRAFT'!J12="",'Purchase Order SCRAFT'!M12="",'Purchase Order SCRAFT'!O12="",'Purchase Order SCRAFT'!R12="",'Purchase Order SCRAFT'!V12="",'Purchase Order SCRAFT'!Y12="",'Purchase Order SCRAFT'!Z12="",'Purchase Order SCRAFT'!C36="",'Purchase Order SCRAFT'!AC12=""),FALSE,TRUE)</f>
        <v>0</v>
      </c>
      <c r="P12" s="243">
        <f>IF(AND(Form_Type&lt;&gt;"OP",Form_Type&lt;&gt;"EX"),IF(VLOOKUP('Purchase Order SCRAFT'!Q12,AdditionalFrameTab,2,FALSE)&gt;0,(D12+E12+G12+H12+I12+K12+L12+M12)*5%,0),0)</f>
        <v>0</v>
      </c>
      <c r="Q12" s="244">
        <f ca="1">IF(C12=0,IF(LEFT('Purchase Order SCRAFT'!C12,3)="Top",G12*('Purchase Order SCRAFT'!F12/1000)*V12,""),IF(ISERR(D12+E12+F12+G12+H12+I12+J12+K12+L12+M12+N12+W80),"POA",SUM(D12:P12)+W80))</f>
        <v>823.58399999999995</v>
      </c>
      <c r="R12" s="244">
        <f t="shared" ca="1" si="3"/>
        <v>823.58399999999995</v>
      </c>
      <c r="S12" s="675">
        <f t="shared" si="4"/>
        <v>0</v>
      </c>
      <c r="T12" s="424">
        <f t="shared" ca="1" si="0"/>
        <v>0</v>
      </c>
      <c r="U12" s="243">
        <f t="shared" ca="1" si="1"/>
        <v>514.74</v>
      </c>
      <c r="V12" s="248">
        <f>'Purchase Order SCRAFT'!D12</f>
        <v>1</v>
      </c>
      <c r="W12" s="249">
        <f t="shared" ca="1" si="2"/>
        <v>514.74</v>
      </c>
      <c r="AF12" s="210"/>
    </row>
    <row r="13" spans="1:32" x14ac:dyDescent="0.2">
      <c r="A13" s="4">
        <v>7</v>
      </c>
      <c r="B13" s="4" t="str">
        <f>'Purchase Order SCRAFT'!X61</f>
        <v>Study</v>
      </c>
      <c r="C13" s="247">
        <f>IF(ISERR(SUM(('Purchase Order SCRAFT'!F13/1000)*('Purchase Order SCRAFT'!G13/1000))),0,SUM(('Purchase Order SCRAFT'!F13/1000)*('Purchase Order SCRAFT'!G13/1000)))</f>
        <v>5.4600000000000009</v>
      </c>
      <c r="D13" s="243">
        <f ca="1">IF('Purchase Order SCRAFT'!Z13="",0,IF(Form_Type="Frame",0,IF(RIGHT('Purchase Order SCRAFT'!Z13,1)=")",VLOOKUP("Custom Colour",colourpricetab,2, FALSE)*C13,VLOOKUP('Purchase Order SCRAFT'!Z13,colourpricetab,2,FALSE)*C13)))</f>
        <v>917.2800000000002</v>
      </c>
      <c r="E13" s="243">
        <f ca="1">IF(ISNA(VLOOKUP('Purchase Order SCRAFT'!C13,ShapePriceTab,1,FALSE)),0,VLOOKUP('Purchase Order SCRAFT'!C13,ShapePriceTab,2,FALSE)+(IF(F59&gt;2,(F59-2)*VLOOKUP('Purchase Order SCRAFT'!C13,StandardShapes,3,FALSE),0)))</f>
        <v>0</v>
      </c>
      <c r="F13" s="243">
        <f ca="1">IF(OR('Purchase Order SCRAFT'!C13="",E13&gt;0),0,IF(VLOOKUP('Purchase Order SCRAFT'!C13,M_T_PriceTab,2,FALSE)="POA","POA",VLOOKUP('Purchase Order SCRAFT'!C13,M_T_PriceTab,2,FALSE)*IF(prefix="ss_",1,('Purchase Order SCRAFT'!F13/1000))))</f>
        <v>140.4</v>
      </c>
      <c r="G13" s="243">
        <f ca="1">IF('Purchase Order SCRAFT'!C13="",0,IF(Form_Type="OP",0,IF(Form_Type="EX",0,IF(Form_Type="Frame",(VLOOKUP('Purchase Order SCRAFT'!Q13,FramePriceTab,3,FALSE)*P81)+(VLOOKUP('Purchase Order SCRAFT'!C37,TPostPriceTab,2,FALSE)*'Pricing and calculations'!Q81)+IF(LEFT('Purchase Order SCRAFT'!D37,6)="Custom",12.5*('Purchase Order SCRAFT'!F13/1000)*('Purchase Order SCRAFT'!G13/1000),0),(VLOOKUP('Purchase Order SCRAFT'!Q13,FramePriceTab,2,FALSE)*L81*('Purchase Order SCRAFT'!G13/1000))+IF(LEFT('Purchase Order SCRAFT'!D37,6)="Custom",12.5*('Purchase Order SCRAFT'!F13/1000)*('Purchase Order SCRAFT'!G13/1000),0)))))</f>
        <v>58.800000000000004</v>
      </c>
      <c r="H13" s="243">
        <f ca="1">IF('Purchase Order SCRAFT'!M13="",0,IF(Form_Type="EX",0,VLOOKUP('Purchase Order SCRAFT'!M13,LvTransTab,2,FALSE)*C13))</f>
        <v>0</v>
      </c>
      <c r="I13" s="243">
        <f>IF(Form_Type="EX",0,'Purchase Order SCRAFT'!Y13*3)</f>
        <v>0</v>
      </c>
      <c r="J13" s="243">
        <f>IF(RIGHT('Purchase Order SCRAFT'!M13,4)="RC S",IF(AND(prefix&lt;&gt;"ss_",'Purchase Order SCRAFT'!E13=""),"POA",G59*RC_Solar_Cost),IF(RIGHT('Purchase Order SCRAFT'!M13,4)="RC B",IF('Purchase Order SCRAFT'!E13="","POA",G59*RC_Batt_Cost),0))</f>
        <v>0</v>
      </c>
      <c r="K13" s="243"/>
      <c r="L13" s="243">
        <f>IF(OR(prefix="ss_",'Purchase Order SCRAFT'!O13=""),0,VLOOKUP('Purchase Order SCRAFT'!O13,TiltRodPriceTab,2,FALSE)*C13)</f>
        <v>0</v>
      </c>
      <c r="M13" s="243">
        <f ca="1">IF('Purchase Order SCRAFT'!AC13="",0,VLOOKUP('Purchase Order SCRAFT'!AC13,hcPriceTab,2,FALSE)*C13)</f>
        <v>0</v>
      </c>
      <c r="N13" s="243" t="b">
        <f>IF(prefix="ss_",0,IF(LEFT('Purchase Order SCRAFT'!Q13,5)="Black",'Pricing and calculations'!C13*VLOOKUP('Purchase Order SCRAFT'!Q13,blackoutpricetab,4,FALSE)))</f>
        <v>0</v>
      </c>
      <c r="O13" s="243" t="b">
        <f>IF(OR('Purchase Order SCRAFT'!B13="",'Purchase Order SCRAFT'!C13="",'Purchase Order SCRAFT'!D13="",'Purchase Order SCRAFT'!E13="",'Purchase Order SCRAFT'!F13="",'Purchase Order SCRAFT'!G13="",'Purchase Order SCRAFT'!I13="",'Purchase Order SCRAFT'!J13="",'Purchase Order SCRAFT'!M13="",'Purchase Order SCRAFT'!O13="",'Purchase Order SCRAFT'!R13="",'Purchase Order SCRAFT'!V13="",'Purchase Order SCRAFT'!Y13="",'Purchase Order SCRAFT'!Z13="",'Purchase Order SCRAFT'!C37="",'Purchase Order SCRAFT'!AC13=""),FALSE,TRUE)</f>
        <v>0</v>
      </c>
      <c r="P13" s="243">
        <f>IF(AND(Form_Type&lt;&gt;"OP",Form_Type&lt;&gt;"EX"),IF(VLOOKUP('Purchase Order SCRAFT'!Q13,AdditionalFrameTab,2,FALSE)&gt;0,(D13+E13+G13+H13+I13+K13+L13+M13)*5%,0),0)</f>
        <v>0</v>
      </c>
      <c r="Q13" s="244">
        <f ca="1">IF(C13=0,IF(LEFT('Purchase Order SCRAFT'!C13,3)="Top",G13*('Purchase Order SCRAFT'!F13/1000)*V13,""),IF(ISERR(D13+E13+F13+G13+H13+I13+J13+K13+L13+M13+N13+W81),"POA",SUM(D13:P13)+W81))</f>
        <v>1116.4800000000002</v>
      </c>
      <c r="R13" s="244">
        <f t="shared" ca="1" si="3"/>
        <v>1116.4800000000002</v>
      </c>
      <c r="S13" s="675">
        <f t="shared" si="4"/>
        <v>0</v>
      </c>
      <c r="T13" s="424">
        <f t="shared" ca="1" si="0"/>
        <v>0</v>
      </c>
      <c r="U13" s="243">
        <f t="shared" ca="1" si="1"/>
        <v>697.80000000000018</v>
      </c>
      <c r="V13" s="248">
        <f>'Purchase Order SCRAFT'!D13</f>
        <v>1</v>
      </c>
      <c r="W13" s="249">
        <f t="shared" ca="1" si="2"/>
        <v>697.80000000000018</v>
      </c>
      <c r="AF13" s="210"/>
    </row>
    <row r="14" spans="1:32" x14ac:dyDescent="0.2">
      <c r="A14" s="4">
        <v>8</v>
      </c>
      <c r="B14" s="4" t="str">
        <f>'Purchase Order SCRAFT'!X62</f>
        <v xml:space="preserve">Living Room </v>
      </c>
      <c r="C14" s="247">
        <f>IF(ISERR(SUM(('Purchase Order SCRAFT'!F14/1000)*('Purchase Order SCRAFT'!G14/1000))),0,SUM(('Purchase Order SCRAFT'!F14/1000)*('Purchase Order SCRAFT'!G14/1000)))</f>
        <v>2.9172000000000002</v>
      </c>
      <c r="D14" s="243">
        <f ca="1">IF('Purchase Order SCRAFT'!Z14="",0,IF(Form_Type="Frame",0,IF(RIGHT('Purchase Order SCRAFT'!Z14,1)=")",VLOOKUP("Custom Colour",colourpricetab,2, FALSE)*C14,VLOOKUP('Purchase Order SCRAFT'!Z14,colourpricetab,2,FALSE)*C14)))</f>
        <v>490.08960000000002</v>
      </c>
      <c r="E14" s="243">
        <f ca="1">IF(ISNA(VLOOKUP('Purchase Order SCRAFT'!C14,ShapePriceTab,1,FALSE)),0,VLOOKUP('Purchase Order SCRAFT'!C14,ShapePriceTab,2,FALSE)+(IF(F60&gt;2,(F60-2)*VLOOKUP('Purchase Order SCRAFT'!C14,StandardShapes,3,FALSE),0)))</f>
        <v>0</v>
      </c>
      <c r="F14" s="243">
        <f ca="1">IF(OR('Purchase Order SCRAFT'!C14="",E14&gt;0),0,IF(VLOOKUP('Purchase Order SCRAFT'!C14,M_T_PriceTab,2,FALSE)="POA","POA",VLOOKUP('Purchase Order SCRAFT'!C14,M_T_PriceTab,2,FALSE)*IF(prefix="ss_",1,('Purchase Order SCRAFT'!F14/1000))))</f>
        <v>0</v>
      </c>
      <c r="G14" s="243">
        <f ca="1">IF('Purchase Order SCRAFT'!C14="",0,IF(Form_Type="OP",0,IF(Form_Type="EX",0,IF(Form_Type="Frame",(VLOOKUP('Purchase Order SCRAFT'!Q14,FramePriceTab,3,FALSE)*P82)+(VLOOKUP('Purchase Order SCRAFT'!C38,TPostPriceTab,2,FALSE)*'Pricing and calculations'!Q82)+IF(LEFT('Purchase Order SCRAFT'!D38,6)="Custom",12.5*('Purchase Order SCRAFT'!F14/1000)*('Purchase Order SCRAFT'!G14/1000),0),(VLOOKUP('Purchase Order SCRAFT'!Q14,FramePriceTab,2,FALSE)*L82*('Purchase Order SCRAFT'!G14/1000))+IF(LEFT('Purchase Order SCRAFT'!D38,6)="Custom",12.5*('Purchase Order SCRAFT'!F14/1000)*('Purchase Order SCRAFT'!G14/1000),0)))))</f>
        <v>0</v>
      </c>
      <c r="H14" s="243">
        <f ca="1">IF('Purchase Order SCRAFT'!M14="",0,IF(Form_Type="EX",0,VLOOKUP('Purchase Order SCRAFT'!M14,LvTransTab,2,FALSE)*C14))</f>
        <v>0</v>
      </c>
      <c r="I14" s="243">
        <f>IF(Form_Type="EX",0,'Purchase Order SCRAFT'!Y14*3)</f>
        <v>0</v>
      </c>
      <c r="J14" s="243">
        <f>IF(RIGHT('Purchase Order SCRAFT'!M14,4)="RC S",IF(AND(prefix&lt;&gt;"ss_",'Purchase Order SCRAFT'!E14=""),"POA",G60*RC_Solar_Cost),IF(RIGHT('Purchase Order SCRAFT'!M14,4)="RC B",IF('Purchase Order SCRAFT'!E14="","POA",G60*RC_Batt_Cost),0))</f>
        <v>0</v>
      </c>
      <c r="K14" s="243"/>
      <c r="L14" s="243">
        <f>IF(OR(prefix="ss_",'Purchase Order SCRAFT'!O14=""),0,VLOOKUP('Purchase Order SCRAFT'!O14,TiltRodPriceTab,2,FALSE)*C14)</f>
        <v>0</v>
      </c>
      <c r="M14" s="243">
        <f ca="1">IF('Purchase Order SCRAFT'!AC14="",0,VLOOKUP('Purchase Order SCRAFT'!AC14,hcPriceTab,2,FALSE)*C14)</f>
        <v>0</v>
      </c>
      <c r="N14" s="243" t="b">
        <f>IF(prefix="ss_",0,IF(LEFT('Purchase Order SCRAFT'!Q14,5)="Black",'Pricing and calculations'!C14*VLOOKUP('Purchase Order SCRAFT'!Q14,blackoutpricetab,4,FALSE)))</f>
        <v>0</v>
      </c>
      <c r="O14" s="243" t="b">
        <f>IF(OR('Purchase Order SCRAFT'!B14="",'Purchase Order SCRAFT'!C14="",'Purchase Order SCRAFT'!D14="",'Purchase Order SCRAFT'!E14="",'Purchase Order SCRAFT'!F14="",'Purchase Order SCRAFT'!G14="",'Purchase Order SCRAFT'!I14="",'Purchase Order SCRAFT'!J14="",'Purchase Order SCRAFT'!M14="",'Purchase Order SCRAFT'!O14="",'Purchase Order SCRAFT'!R14="",'Purchase Order SCRAFT'!V14="",'Purchase Order SCRAFT'!Y14="",'Purchase Order SCRAFT'!Z14="",'Purchase Order SCRAFT'!C38="",'Purchase Order SCRAFT'!AC14=""),FALSE,TRUE)</f>
        <v>0</v>
      </c>
      <c r="P14" s="243">
        <f ca="1">IF(AND(Form_Type&lt;&gt;"OP",Form_Type&lt;&gt;"EX"),IF(VLOOKUP('Purchase Order SCRAFT'!Q14,AdditionalFrameTab,2,FALSE)&gt;0,(D14+E14+G14+H14+I14+K14+L14+M14)*5%,0),0)</f>
        <v>24.504480000000001</v>
      </c>
      <c r="Q14" s="244">
        <f ca="1">IF(C14=0,IF(LEFT('Purchase Order SCRAFT'!C14,3)="Top",G14*('Purchase Order SCRAFT'!F14/1000)*V14,""),IF(ISERR(D14+E14+F14+G14+H14+I14+J14+K14+L14+M14+N14+W82),"POA",SUM(D14:P14)+W82))</f>
        <v>514.59408000000008</v>
      </c>
      <c r="R14" s="244">
        <f t="shared" ca="1" si="3"/>
        <v>514.59408000000008</v>
      </c>
      <c r="S14" s="675">
        <f t="shared" si="4"/>
        <v>0</v>
      </c>
      <c r="T14" s="424">
        <f t="shared" ca="1" si="0"/>
        <v>0</v>
      </c>
      <c r="U14" s="243">
        <f t="shared" ca="1" si="1"/>
        <v>321.62130000000002</v>
      </c>
      <c r="V14" s="248">
        <f>'Purchase Order SCRAFT'!D14</f>
        <v>1</v>
      </c>
      <c r="W14" s="249">
        <f t="shared" ca="1" si="2"/>
        <v>321.62130000000002</v>
      </c>
      <c r="AF14" s="210"/>
    </row>
    <row r="15" spans="1:32" x14ac:dyDescent="0.2">
      <c r="A15" s="4">
        <v>9</v>
      </c>
      <c r="B15" s="4" t="str">
        <f>'Purchase Order SCRAFT'!X63</f>
        <v>Utility</v>
      </c>
      <c r="C15" s="247">
        <f>IF(ISERR(SUM(('Purchase Order SCRAFT'!F15/1000)*('Purchase Order SCRAFT'!G15/1000))),0,SUM(('Purchase Order SCRAFT'!F15/1000)*('Purchase Order SCRAFT'!G15/1000)))</f>
        <v>1.298</v>
      </c>
      <c r="D15" s="243">
        <f ca="1">IF('Purchase Order SCRAFT'!Z15="",0,IF(Form_Type="Frame",0,IF(RIGHT('Purchase Order SCRAFT'!Z15,1)=")",VLOOKUP("Custom Colour",colourpricetab,2, FALSE)*C15,VLOOKUP('Purchase Order SCRAFT'!Z15,colourpricetab,2,FALSE)*C15)))</f>
        <v>218.06400000000002</v>
      </c>
      <c r="E15" s="243">
        <f ca="1">IF(ISNA(VLOOKUP('Purchase Order SCRAFT'!C15,ShapePriceTab,1,FALSE)),0,VLOOKUP('Purchase Order SCRAFT'!C15,ShapePriceTab,2,FALSE)+(IF(F61&gt;2,(F61-2)*VLOOKUP('Purchase Order SCRAFT'!C15,StandardShapes,3,FALSE),0)))</f>
        <v>0</v>
      </c>
      <c r="F15" s="243">
        <f ca="1">IF(OR('Purchase Order SCRAFT'!C15="",E15&gt;0),0,IF(VLOOKUP('Purchase Order SCRAFT'!C15,M_T_PriceTab,2,FALSE)="POA","POA",VLOOKUP('Purchase Order SCRAFT'!C15,M_T_PriceTab,2,FALSE)*IF(prefix="ss_",1,('Purchase Order SCRAFT'!F15/1000))))</f>
        <v>0</v>
      </c>
      <c r="G15" s="243">
        <f ca="1">IF('Purchase Order SCRAFT'!C15="",0,IF(Form_Type="OP",0,IF(Form_Type="EX",0,IF(Form_Type="Frame",(VLOOKUP('Purchase Order SCRAFT'!Q15,FramePriceTab,3,FALSE)*P83)+(VLOOKUP('Purchase Order SCRAFT'!C39,TPostPriceTab,2,FALSE)*'Pricing and calculations'!Q83)+IF(LEFT('Purchase Order SCRAFT'!D39,6)="Custom",12.5*('Purchase Order SCRAFT'!F15/1000)*('Purchase Order SCRAFT'!G15/1000),0),(VLOOKUP('Purchase Order SCRAFT'!Q15,FramePriceTab,2,FALSE)*L83*('Purchase Order SCRAFT'!G15/1000))+IF(LEFT('Purchase Order SCRAFT'!D39,6)="Custom",12.5*('Purchase Order SCRAFT'!F15/1000)*('Purchase Order SCRAFT'!G15/1000),0)))))</f>
        <v>0</v>
      </c>
      <c r="H15" s="243">
        <f ca="1">IF('Purchase Order SCRAFT'!M15="",0,IF(Form_Type="EX",0,VLOOKUP('Purchase Order SCRAFT'!M15,LvTransTab,2,FALSE)*C15))</f>
        <v>0</v>
      </c>
      <c r="I15" s="243">
        <f>IF(Form_Type="EX",0,'Purchase Order SCRAFT'!Y15*3)</f>
        <v>0</v>
      </c>
      <c r="J15" s="243">
        <f>IF(RIGHT('Purchase Order SCRAFT'!M15,4)="RC S",IF(AND(prefix&lt;&gt;"ss_",'Purchase Order SCRAFT'!E15=""),"POA",G61*RC_Solar_Cost),IF(RIGHT('Purchase Order SCRAFT'!M15,4)="RC B",IF('Purchase Order SCRAFT'!E15="","POA",G61*RC_Batt_Cost),0))</f>
        <v>0</v>
      </c>
      <c r="K15" s="243"/>
      <c r="L15" s="243">
        <f>IF(OR(prefix="ss_",'Purchase Order SCRAFT'!O15=""),0,VLOOKUP('Purchase Order SCRAFT'!O15,TiltRodPriceTab,2,FALSE)*C15)</f>
        <v>0</v>
      </c>
      <c r="M15" s="243">
        <f ca="1">IF('Purchase Order SCRAFT'!AC15="",0,VLOOKUP('Purchase Order SCRAFT'!AC15,hcPriceTab,2,FALSE)*C15)</f>
        <v>0</v>
      </c>
      <c r="N15" s="243" t="b">
        <f>IF(prefix="ss_",0,IF(LEFT('Purchase Order SCRAFT'!Q15,5)="Black",'Pricing and calculations'!C15*VLOOKUP('Purchase Order SCRAFT'!Q15,blackoutpricetab,4,FALSE)))</f>
        <v>0</v>
      </c>
      <c r="O15" s="243" t="b">
        <f>IF(OR('Purchase Order SCRAFT'!B15="",'Purchase Order SCRAFT'!C15="",'Purchase Order SCRAFT'!D15="",'Purchase Order SCRAFT'!E15="",'Purchase Order SCRAFT'!F15="",'Purchase Order SCRAFT'!G15="",'Purchase Order SCRAFT'!I15="",'Purchase Order SCRAFT'!J15="",'Purchase Order SCRAFT'!M15="",'Purchase Order SCRAFT'!O15="",'Purchase Order SCRAFT'!R15="",'Purchase Order SCRAFT'!V15="",'Purchase Order SCRAFT'!Y15="",'Purchase Order SCRAFT'!Z15="",'Purchase Order SCRAFT'!C39="",'Purchase Order SCRAFT'!AC15=""),FALSE,TRUE)</f>
        <v>0</v>
      </c>
      <c r="P15" s="243">
        <f>IF(AND(Form_Type&lt;&gt;"OP",Form_Type&lt;&gt;"EX"),IF(VLOOKUP('Purchase Order SCRAFT'!Q15,AdditionalFrameTab,2,FALSE)&gt;0,(D15+E15+G15+H15+I15+K15+L15+M15)*5%,0),0)</f>
        <v>0</v>
      </c>
      <c r="Q15" s="244">
        <f ca="1">IF(C15=0,IF(LEFT('Purchase Order SCRAFT'!C15,3)="Top",G15*('Purchase Order SCRAFT'!F15/1000)*V15,""),IF(ISERR(D15+E15+F15+G15+H15+I15+J15+K15+L15+M15+N15+W83),"POA",SUM(D15:P15)+W83))</f>
        <v>218.06400000000002</v>
      </c>
      <c r="R15" s="244">
        <f t="shared" ca="1" si="3"/>
        <v>218.06400000000002</v>
      </c>
      <c r="S15" s="675">
        <f t="shared" si="4"/>
        <v>0</v>
      </c>
      <c r="T15" s="424">
        <f t="shared" ca="1" si="0"/>
        <v>0</v>
      </c>
      <c r="U15" s="243">
        <f t="shared" ca="1" si="1"/>
        <v>136.29000000000002</v>
      </c>
      <c r="V15" s="248">
        <f>'Purchase Order SCRAFT'!D15</f>
        <v>1</v>
      </c>
      <c r="W15" s="249">
        <f t="shared" ca="1" si="2"/>
        <v>136.29000000000002</v>
      </c>
      <c r="AF15" s="210"/>
    </row>
    <row r="16" spans="1:32" x14ac:dyDescent="0.2">
      <c r="A16" s="4">
        <v>10</v>
      </c>
      <c r="B16" s="4" t="str">
        <f>'Purchase Order SCRAFT'!X64</f>
        <v xml:space="preserve"> </v>
      </c>
      <c r="C16" s="247">
        <f>IF(ISERR(SUM(('Purchase Order SCRAFT'!F16/1000)*('Purchase Order SCRAFT'!G16/1000))),0,SUM(('Purchase Order SCRAFT'!F16/1000)*('Purchase Order SCRAFT'!G16/1000)))</f>
        <v>0</v>
      </c>
      <c r="D16" s="243">
        <f>IF('Purchase Order SCRAFT'!Z16="",0,IF(Form_Type="Frame",0,IF(RIGHT('Purchase Order SCRAFT'!Z16,1)=")",VLOOKUP("Custom Colour",colourpricetab,2, FALSE)*C16,VLOOKUP('Purchase Order SCRAFT'!Z16,colourpricetab,2,FALSE)*C16)))</f>
        <v>0</v>
      </c>
      <c r="E16" s="243">
        <f ca="1">IF(ISNA(VLOOKUP('Purchase Order SCRAFT'!C16,ShapePriceTab,1,FALSE)),0,VLOOKUP('Purchase Order SCRAFT'!C16,ShapePriceTab,2,FALSE)+(IF(F62&gt;2,(F62-2)*VLOOKUP('Purchase Order SCRAFT'!C16,StandardShapes,3,FALSE),0)))</f>
        <v>0</v>
      </c>
      <c r="F16" s="243">
        <f ca="1">IF(OR('Purchase Order SCRAFT'!C16="",E16&gt;0),0,IF(VLOOKUP('Purchase Order SCRAFT'!C16,M_T_PriceTab,2,FALSE)="POA","POA",VLOOKUP('Purchase Order SCRAFT'!C16,M_T_PriceTab,2,FALSE)*IF(prefix="ss_",1,('Purchase Order SCRAFT'!F16/1000))))</f>
        <v>0</v>
      </c>
      <c r="G16" s="243">
        <f>IF('Purchase Order SCRAFT'!C16="",0,IF(Form_Type="OP",0,IF(Form_Type="EX",0,IF(Form_Type="Frame",(VLOOKUP('Purchase Order SCRAFT'!Q16,FramePriceTab,3,FALSE)*P84)+(VLOOKUP('Purchase Order SCRAFT'!C40,TPostPriceTab,2,FALSE)*'Pricing and calculations'!Q84)+IF(LEFT('Purchase Order SCRAFT'!D40,6)="Custom",12.5*('Purchase Order SCRAFT'!F16/1000)*('Purchase Order SCRAFT'!G16/1000),0),(VLOOKUP('Purchase Order SCRAFT'!Q16,FramePriceTab,2,FALSE)*L84*('Purchase Order SCRAFT'!G16/1000))+IF(LEFT('Purchase Order SCRAFT'!D40,6)="Custom",12.5*('Purchase Order SCRAFT'!F16/1000)*('Purchase Order SCRAFT'!G16/1000),0)))))</f>
        <v>0</v>
      </c>
      <c r="H16" s="243">
        <f>IF('Purchase Order SCRAFT'!M16="",0,IF(Form_Type="EX",0,VLOOKUP('Purchase Order SCRAFT'!M16,LvTransTab,2,FALSE)*C16))</f>
        <v>0</v>
      </c>
      <c r="I16" s="243">
        <f>IF(Form_Type="EX",0,'Purchase Order SCRAFT'!Y16*3)</f>
        <v>0</v>
      </c>
      <c r="J16" s="243">
        <f>IF(RIGHT('Purchase Order SCRAFT'!M16,4)="RC S",IF(AND(prefix&lt;&gt;"ss_",'Purchase Order SCRAFT'!E16=""),"POA",G62*RC_Solar_Cost),IF(RIGHT('Purchase Order SCRAFT'!M16,4)="RC B",IF('Purchase Order SCRAFT'!E16="","POA",G62*RC_Batt_Cost),0))</f>
        <v>0</v>
      </c>
      <c r="K16" s="243"/>
      <c r="L16" s="243">
        <f>IF(OR(prefix="ss_",'Purchase Order SCRAFT'!O16=""),0,VLOOKUP('Purchase Order SCRAFT'!O16,TiltRodPriceTab,2,FALSE)*C16)</f>
        <v>0</v>
      </c>
      <c r="M16" s="243">
        <f>IF('Purchase Order SCRAFT'!AC16="",0,VLOOKUP('Purchase Order SCRAFT'!AC16,hcPriceTab,2,FALSE)*C16)</f>
        <v>0</v>
      </c>
      <c r="N16" s="243" t="b">
        <f>IF(prefix="ss_",0,IF(LEFT('Purchase Order SCRAFT'!Q16,5)="Black",'Pricing and calculations'!C16*VLOOKUP('Purchase Order SCRAFT'!Q16,blackoutpricetab,4,FALSE)))</f>
        <v>0</v>
      </c>
      <c r="O16" s="243" t="b">
        <f>IF(OR('Purchase Order SCRAFT'!B16="",'Purchase Order SCRAFT'!C16="",'Purchase Order SCRAFT'!D16="",'Purchase Order SCRAFT'!E16="",'Purchase Order SCRAFT'!F16="",'Purchase Order SCRAFT'!G16="",'Purchase Order SCRAFT'!I16="",'Purchase Order SCRAFT'!J16="",'Purchase Order SCRAFT'!M16="",'Purchase Order SCRAFT'!O16="",'Purchase Order SCRAFT'!R16="",'Purchase Order SCRAFT'!V16="",'Purchase Order SCRAFT'!Y16="",'Purchase Order SCRAFT'!Z16="",'Purchase Order SCRAFT'!C40="",'Purchase Order SCRAFT'!AC16=""),FALSE,TRUE)</f>
        <v>0</v>
      </c>
      <c r="P16" s="243" t="e">
        <f>IF(AND(Form_Type&lt;&gt;"OP",Form_Type&lt;&gt;"EX"),IF(VLOOKUP('Purchase Order SCRAFT'!Q16,AdditionalFrameTab,2,FALSE)&gt;0,(D16+E16+G16+H16+I16+K16+L16+M16)*5%,0),0)</f>
        <v>#N/A</v>
      </c>
      <c r="Q16" s="244" t="str">
        <f>IF(C16=0,IF(LEFT('Purchase Order SCRAFT'!C16,3)="Top",G16*('Purchase Order SCRAFT'!F16/1000)*V16,""),IF(ISERR(D16+E16+F16+G16+H16+I16+J16+K16+L16+M16+N16+W84),"POA",SUM(D16:P16)+W84))</f>
        <v/>
      </c>
      <c r="R16" s="244" t="e">
        <f t="shared" si="3"/>
        <v>#VALUE!</v>
      </c>
      <c r="S16" s="675">
        <f t="shared" si="4"/>
        <v>0</v>
      </c>
      <c r="T16" s="424">
        <f t="shared" ca="1" si="0"/>
        <v>0</v>
      </c>
      <c r="U16" s="243" t="str">
        <f t="shared" si="1"/>
        <v/>
      </c>
      <c r="V16" s="248">
        <f>'Purchase Order SCRAFT'!D16</f>
        <v>0</v>
      </c>
      <c r="W16" s="249">
        <f t="shared" si="2"/>
        <v>0</v>
      </c>
      <c r="AF16" s="210"/>
    </row>
    <row r="17" spans="1:32" x14ac:dyDescent="0.2">
      <c r="A17" s="4">
        <v>11</v>
      </c>
      <c r="B17" s="4" t="str">
        <f>'Purchase Order SCRAFT'!X65</f>
        <v xml:space="preserve"> </v>
      </c>
      <c r="C17" s="247">
        <f>IF(ISERR(SUM(('Purchase Order SCRAFT'!F17/1000)*('Purchase Order SCRAFT'!G17/1000))),0,SUM(('Purchase Order SCRAFT'!F17/1000)*('Purchase Order SCRAFT'!G17/1000)))</f>
        <v>0</v>
      </c>
      <c r="D17" s="243">
        <f>IF('Purchase Order SCRAFT'!Z17="",0,IF(Form_Type="Frame",0,IF(RIGHT('Purchase Order SCRAFT'!Z17,1)=")",VLOOKUP("Custom Colour",colourpricetab,2, FALSE)*C17,VLOOKUP('Purchase Order SCRAFT'!Z17,colourpricetab,2,FALSE)*C17)))</f>
        <v>0</v>
      </c>
      <c r="E17" s="243">
        <f ca="1">IF(ISNA(VLOOKUP('Purchase Order SCRAFT'!C17,ShapePriceTab,1,FALSE)),0,VLOOKUP('Purchase Order SCRAFT'!C17,ShapePriceTab,2,FALSE)+(IF(F63&gt;2,(F63-2)*VLOOKUP('Purchase Order SCRAFT'!C17,StandardShapes,3,FALSE),0)))</f>
        <v>0</v>
      </c>
      <c r="F17" s="243">
        <f ca="1">IF(OR('Purchase Order SCRAFT'!C17="",E17&gt;0),0,IF(VLOOKUP('Purchase Order SCRAFT'!C17,M_T_PriceTab,2,FALSE)="POA","POA",VLOOKUP('Purchase Order SCRAFT'!C17,M_T_PriceTab,2,FALSE)*IF(prefix="ss_",1,('Purchase Order SCRAFT'!F17/1000))))</f>
        <v>0</v>
      </c>
      <c r="G17" s="243">
        <f>IF('Purchase Order SCRAFT'!C17="",0,IF(Form_Type="OP",0,IF(Form_Type="EX",0,IF(Form_Type="Frame",(VLOOKUP('Purchase Order SCRAFT'!Q17,FramePriceTab,3,FALSE)*P85)+(VLOOKUP('Purchase Order SCRAFT'!C41,TPostPriceTab,2,FALSE)*'Pricing and calculations'!Q85)+IF(LEFT('Purchase Order SCRAFT'!D41,6)="Custom",12.5*('Purchase Order SCRAFT'!F17/1000)*('Purchase Order SCRAFT'!G17/1000),0),(VLOOKUP('Purchase Order SCRAFT'!Q17,FramePriceTab,2,FALSE)*L85*('Purchase Order SCRAFT'!G17/1000))+IF(LEFT('Purchase Order SCRAFT'!D41,6)="Custom",12.5*('Purchase Order SCRAFT'!F17/1000)*('Purchase Order SCRAFT'!G17/1000),0)))))</f>
        <v>0</v>
      </c>
      <c r="H17" s="243">
        <f>IF('Purchase Order SCRAFT'!M17="",0,IF(Form_Type="EX",0,VLOOKUP('Purchase Order SCRAFT'!M17,LvTransTab,2,FALSE)*C17))</f>
        <v>0</v>
      </c>
      <c r="I17" s="243">
        <f>IF(Form_Type="EX",0,'Purchase Order SCRAFT'!Y17*3)</f>
        <v>0</v>
      </c>
      <c r="J17" s="243">
        <f>IF(RIGHT('Purchase Order SCRAFT'!M17,4)="RC S",IF(AND(prefix&lt;&gt;"ss_",'Purchase Order SCRAFT'!E17=""),"POA",G63*RC_Solar_Cost),IF(RIGHT('Purchase Order SCRAFT'!M17,4)="RC B",IF('Purchase Order SCRAFT'!E17="","POA",G63*RC_Batt_Cost),0))</f>
        <v>0</v>
      </c>
      <c r="K17" s="243"/>
      <c r="L17" s="243">
        <f>IF(OR(prefix="ss_",'Purchase Order SCRAFT'!O17=""),0,VLOOKUP('Purchase Order SCRAFT'!O17,TiltRodPriceTab,2,FALSE)*C17)</f>
        <v>0</v>
      </c>
      <c r="M17" s="243">
        <f>IF('Purchase Order SCRAFT'!AC17="",0,VLOOKUP('Purchase Order SCRAFT'!AC17,hcPriceTab,2,FALSE)*C17)</f>
        <v>0</v>
      </c>
      <c r="N17" s="243" t="b">
        <f>IF(prefix="ss_",0,IF(LEFT('Purchase Order SCRAFT'!Q17,5)="Black",'Pricing and calculations'!C17*VLOOKUP('Purchase Order SCRAFT'!Q17,blackoutpricetab,4,FALSE)))</f>
        <v>0</v>
      </c>
      <c r="O17" s="243" t="b">
        <f>IF(OR('Purchase Order SCRAFT'!B17="",'Purchase Order SCRAFT'!C17="",'Purchase Order SCRAFT'!D17="",'Purchase Order SCRAFT'!E17="",'Purchase Order SCRAFT'!F17="",'Purchase Order SCRAFT'!G17="",'Purchase Order SCRAFT'!I17="",'Purchase Order SCRAFT'!J17="",'Purchase Order SCRAFT'!M17="",'Purchase Order SCRAFT'!O17="",'Purchase Order SCRAFT'!R17="",'Purchase Order SCRAFT'!V17="",'Purchase Order SCRAFT'!Y17="",'Purchase Order SCRAFT'!Z17="",'Purchase Order SCRAFT'!C41="",'Purchase Order SCRAFT'!AC17=""),FALSE,TRUE)</f>
        <v>0</v>
      </c>
      <c r="P17" s="243" t="e">
        <f>IF(AND(Form_Type&lt;&gt;"OP",Form_Type&lt;&gt;"EX"),IF(VLOOKUP('Purchase Order SCRAFT'!Q17,AdditionalFrameTab,2,FALSE)&gt;0,(D17+E17+G17+H17+I17+K17+L17+M17)*5%,0),0)</f>
        <v>#N/A</v>
      </c>
      <c r="Q17" s="244" t="str">
        <f>IF(C17=0,IF(LEFT('Purchase Order SCRAFT'!C17,3)="Top",G17*('Purchase Order SCRAFT'!F17/1000)*V17,""),IF(ISERR(D17+E17+F17+G17+H17+I17+J17+K17+L17+M17+N17+W85),"POA",SUM(D17:P17)+W85))</f>
        <v/>
      </c>
      <c r="R17" s="244" t="e">
        <f t="shared" si="3"/>
        <v>#VALUE!</v>
      </c>
      <c r="S17" s="675">
        <f t="shared" si="4"/>
        <v>0</v>
      </c>
      <c r="T17" s="424">
        <f t="shared" ca="1" si="0"/>
        <v>0</v>
      </c>
      <c r="U17" s="243" t="str">
        <f t="shared" si="1"/>
        <v/>
      </c>
      <c r="V17" s="248">
        <f>'Purchase Order SCRAFT'!D17</f>
        <v>0</v>
      </c>
      <c r="W17" s="249">
        <f t="shared" si="2"/>
        <v>0</v>
      </c>
      <c r="AF17" s="210"/>
    </row>
    <row r="18" spans="1:32" x14ac:dyDescent="0.2">
      <c r="A18" s="4">
        <v>12</v>
      </c>
      <c r="B18" s="4" t="str">
        <f>'Purchase Order SCRAFT'!X66</f>
        <v xml:space="preserve"> </v>
      </c>
      <c r="C18" s="247">
        <f>IF(ISERR(SUM(('Purchase Order SCRAFT'!F18/1000)*('Purchase Order SCRAFT'!G18/1000))),0,SUM(('Purchase Order SCRAFT'!F18/1000)*('Purchase Order SCRAFT'!G18/1000)))</f>
        <v>0</v>
      </c>
      <c r="D18" s="243">
        <f>IF('Purchase Order SCRAFT'!Z18="",0,IF(Form_Type="Frame",0,IF(RIGHT('Purchase Order SCRAFT'!Z18,1)=")",VLOOKUP("Custom Colour",colourpricetab,2, FALSE)*C18,VLOOKUP('Purchase Order SCRAFT'!Z18,colourpricetab,2,FALSE)*C18)))</f>
        <v>0</v>
      </c>
      <c r="E18" s="243">
        <f ca="1">IF(ISNA(VLOOKUP('Purchase Order SCRAFT'!C18,ShapePriceTab,1,FALSE)),0,VLOOKUP('Purchase Order SCRAFT'!C18,ShapePriceTab,2,FALSE)+(IF(F64&gt;2,(F64-2)*VLOOKUP('Purchase Order SCRAFT'!C18,StandardShapes,3,FALSE),0)))</f>
        <v>0</v>
      </c>
      <c r="F18" s="243">
        <f ca="1">IF(OR('Purchase Order SCRAFT'!C18="",E18&gt;0),0,IF(VLOOKUP('Purchase Order SCRAFT'!C18,M_T_PriceTab,2,FALSE)="POA","POA",VLOOKUP('Purchase Order SCRAFT'!C18,M_T_PriceTab,2,FALSE)*IF(prefix="ss_",1,('Purchase Order SCRAFT'!F18/1000))))</f>
        <v>0</v>
      </c>
      <c r="G18" s="243">
        <f>IF('Purchase Order SCRAFT'!C18="",0,IF(Form_Type="OP",0,IF(Form_Type="EX",0,IF(Form_Type="Frame",(VLOOKUP('Purchase Order SCRAFT'!Q18,FramePriceTab,3,FALSE)*P86)+(VLOOKUP('Purchase Order SCRAFT'!C42,TPostPriceTab,2,FALSE)*'Pricing and calculations'!Q86)+IF(LEFT('Purchase Order SCRAFT'!D42,6)="Custom",12.5*('Purchase Order SCRAFT'!F18/1000)*('Purchase Order SCRAFT'!G18/1000),0),(VLOOKUP('Purchase Order SCRAFT'!Q18,FramePriceTab,2,FALSE)*L86*('Purchase Order SCRAFT'!G18/1000))+IF(LEFT('Purchase Order SCRAFT'!D42,6)="Custom",12.5*('Purchase Order SCRAFT'!F18/1000)*('Purchase Order SCRAFT'!G18/1000),0)))))</f>
        <v>0</v>
      </c>
      <c r="H18" s="243">
        <f>IF('Purchase Order SCRAFT'!M18="",0,IF(Form_Type="EX",0,VLOOKUP('Purchase Order SCRAFT'!M18,LvTransTab,2,FALSE)*C18))</f>
        <v>0</v>
      </c>
      <c r="I18" s="243">
        <f>IF(Form_Type="EX",0,'Purchase Order SCRAFT'!Y18*3)</f>
        <v>0</v>
      </c>
      <c r="J18" s="243">
        <f>IF(RIGHT('Purchase Order SCRAFT'!M18,4)="RC S",IF(AND(prefix&lt;&gt;"ss_",'Purchase Order SCRAFT'!E18=""),"POA",G64*RC_Solar_Cost),IF(RIGHT('Purchase Order SCRAFT'!M18,4)="RC B",IF('Purchase Order SCRAFT'!E18="","POA",G64*RC_Batt_Cost),0))</f>
        <v>0</v>
      </c>
      <c r="K18" s="243"/>
      <c r="L18" s="243">
        <f>IF(OR(prefix="ss_",'Purchase Order SCRAFT'!O18=""),0,VLOOKUP('Purchase Order SCRAFT'!O18,TiltRodPriceTab,2,FALSE)*C18)</f>
        <v>0</v>
      </c>
      <c r="M18" s="243">
        <f>IF('Purchase Order SCRAFT'!AC18="",0,VLOOKUP('Purchase Order SCRAFT'!AC18,hcPriceTab,2,FALSE)*C18)</f>
        <v>0</v>
      </c>
      <c r="N18" s="243" t="b">
        <f>IF(prefix="ss_",0,IF(LEFT('Purchase Order SCRAFT'!Q18,5)="Black",'Pricing and calculations'!C18*VLOOKUP('Purchase Order SCRAFT'!Q18,blackoutpricetab,4,FALSE)))</f>
        <v>0</v>
      </c>
      <c r="O18" s="243" t="b">
        <f>IF(OR('Purchase Order SCRAFT'!B18="",'Purchase Order SCRAFT'!C18="",'Purchase Order SCRAFT'!D18="",'Purchase Order SCRAFT'!E18="",'Purchase Order SCRAFT'!F18="",'Purchase Order SCRAFT'!G18="",'Purchase Order SCRAFT'!I18="",'Purchase Order SCRAFT'!J18="",'Purchase Order SCRAFT'!M18="",'Purchase Order SCRAFT'!O18="",'Purchase Order SCRAFT'!R18="",'Purchase Order SCRAFT'!V18="",'Purchase Order SCRAFT'!Y18="",'Purchase Order SCRAFT'!Z18="",'Purchase Order SCRAFT'!C42="",'Purchase Order SCRAFT'!AC18=""),FALSE,TRUE)</f>
        <v>0</v>
      </c>
      <c r="P18" s="243" t="e">
        <f>IF(AND(Form_Type&lt;&gt;"OP",Form_Type&lt;&gt;"EX"),IF(VLOOKUP('Purchase Order SCRAFT'!Q18,AdditionalFrameTab,2,FALSE)&gt;0,(D18+E18+G18+H18+I18+K18+L18+M18)*5%,0),0)</f>
        <v>#N/A</v>
      </c>
      <c r="Q18" s="244" t="str">
        <f>IF(C18=0,IF(LEFT('Purchase Order SCRAFT'!C18,3)="Top",G18*('Purchase Order SCRAFT'!F18/1000)*V18,""),IF(ISERR(D18+E18+F18+G18+H18+I18+J18+K18+L18+M18+N18+W86),"POA",SUM(D18:P18)+W86))</f>
        <v/>
      </c>
      <c r="R18" s="244" t="e">
        <f t="shared" si="3"/>
        <v>#VALUE!</v>
      </c>
      <c r="S18" s="675">
        <f t="shared" si="4"/>
        <v>0</v>
      </c>
      <c r="T18" s="424">
        <f t="shared" ca="1" si="0"/>
        <v>0</v>
      </c>
      <c r="U18" s="243" t="str">
        <f t="shared" si="1"/>
        <v/>
      </c>
      <c r="V18" s="248">
        <f>'Purchase Order SCRAFT'!D18</f>
        <v>0</v>
      </c>
      <c r="W18" s="249">
        <f t="shared" si="2"/>
        <v>0</v>
      </c>
      <c r="AF18" s="210"/>
    </row>
    <row r="19" spans="1:32" x14ac:dyDescent="0.2">
      <c r="A19" s="4">
        <v>13</v>
      </c>
      <c r="B19" s="4" t="str">
        <f>'Purchase Order SCRAFT'!X67</f>
        <v xml:space="preserve"> </v>
      </c>
      <c r="C19" s="247">
        <f>IF(ISERR(SUM(('Purchase Order SCRAFT'!F19/1000)*('Purchase Order SCRAFT'!G19/1000))),0,SUM(('Purchase Order SCRAFT'!F19/1000)*('Purchase Order SCRAFT'!G19/1000)))</f>
        <v>0</v>
      </c>
      <c r="D19" s="243">
        <f>IF('Purchase Order SCRAFT'!Z19="",0,IF(Form_Type="Frame",0,IF(RIGHT('Purchase Order SCRAFT'!Z19,1)=")",VLOOKUP("Custom Colour",colourpricetab,2, FALSE)*C19,VLOOKUP('Purchase Order SCRAFT'!Z19,colourpricetab,2,FALSE)*C19)))</f>
        <v>0</v>
      </c>
      <c r="E19" s="243">
        <f ca="1">IF(ISNA(VLOOKUP('Purchase Order SCRAFT'!C19,ShapePriceTab,1,FALSE)),0,VLOOKUP('Purchase Order SCRAFT'!C19,ShapePriceTab,2,FALSE)+(IF(F65&gt;2,(F65-2)*VLOOKUP('Purchase Order SCRAFT'!C19,StandardShapes,3,FALSE),0)))</f>
        <v>0</v>
      </c>
      <c r="F19" s="243">
        <f ca="1">IF(OR('Purchase Order SCRAFT'!C19="",E19&gt;0),0,IF(VLOOKUP('Purchase Order SCRAFT'!C19,M_T_PriceTab,2,FALSE)="POA","POA",VLOOKUP('Purchase Order SCRAFT'!C19,M_T_PriceTab,2,FALSE)*IF(prefix="ss_",1,('Purchase Order SCRAFT'!F19/1000))))</f>
        <v>0</v>
      </c>
      <c r="G19" s="243">
        <f>IF('Purchase Order SCRAFT'!C19="",0,IF(Form_Type="OP",0,IF(Form_Type="EX",0,IF(Form_Type="Frame",(VLOOKUP('Purchase Order SCRAFT'!Q19,FramePriceTab,3,FALSE)*P87)+(VLOOKUP('Purchase Order SCRAFT'!C43,TPostPriceTab,2,FALSE)*'Pricing and calculations'!Q87)+IF(LEFT('Purchase Order SCRAFT'!D43,6)="Custom",12.5*('Purchase Order SCRAFT'!F19/1000)*('Purchase Order SCRAFT'!G19/1000),0),(VLOOKUP('Purchase Order SCRAFT'!Q19,FramePriceTab,2,FALSE)*L87*('Purchase Order SCRAFT'!G19/1000))+IF(LEFT('Purchase Order SCRAFT'!D43,6)="Custom",12.5*('Purchase Order SCRAFT'!F19/1000)*('Purchase Order SCRAFT'!G19/1000),0)))))</f>
        <v>0</v>
      </c>
      <c r="H19" s="243">
        <f>IF('Purchase Order SCRAFT'!M19="",0,IF(Form_Type="EX",0,VLOOKUP('Purchase Order SCRAFT'!M19,LvTransTab,2,FALSE)*C19))</f>
        <v>0</v>
      </c>
      <c r="I19" s="243">
        <f>IF(Form_Type="EX",0,'Purchase Order SCRAFT'!Y19*3)</f>
        <v>0</v>
      </c>
      <c r="J19" s="243">
        <f>IF(RIGHT('Purchase Order SCRAFT'!M19,4)="RC S",IF(AND(prefix&lt;&gt;"ss_",'Purchase Order SCRAFT'!E19=""),"POA",G65*RC_Solar_Cost),IF(RIGHT('Purchase Order SCRAFT'!M19,4)="RC B",IF('Purchase Order SCRAFT'!E19="","POA",G65*RC_Batt_Cost),0))</f>
        <v>0</v>
      </c>
      <c r="K19" s="243"/>
      <c r="L19" s="243">
        <f>IF(OR(prefix="ss_",'Purchase Order SCRAFT'!O19=""),0,VLOOKUP('Purchase Order SCRAFT'!O19,TiltRodPriceTab,2,FALSE)*C19)</f>
        <v>0</v>
      </c>
      <c r="M19" s="243">
        <f>IF('Purchase Order SCRAFT'!AC19="",0,VLOOKUP('Purchase Order SCRAFT'!AC19,hcPriceTab,2,FALSE)*C19)</f>
        <v>0</v>
      </c>
      <c r="N19" s="243" t="b">
        <f>IF(prefix="ss_",0,IF(LEFT('Purchase Order SCRAFT'!Q19,5)="Black",'Pricing and calculations'!C19*VLOOKUP('Purchase Order SCRAFT'!Q19,blackoutpricetab,4,FALSE)))</f>
        <v>0</v>
      </c>
      <c r="O19" s="243" t="b">
        <f>IF(OR('Purchase Order SCRAFT'!B19="",'Purchase Order SCRAFT'!C19="",'Purchase Order SCRAFT'!D19="",'Purchase Order SCRAFT'!E19="",'Purchase Order SCRAFT'!F19="",'Purchase Order SCRAFT'!G19="",'Purchase Order SCRAFT'!I19="",'Purchase Order SCRAFT'!J19="",'Purchase Order SCRAFT'!M19="",'Purchase Order SCRAFT'!O19="",'Purchase Order SCRAFT'!R19="",'Purchase Order SCRAFT'!V19="",'Purchase Order SCRAFT'!Y19="",'Purchase Order SCRAFT'!Z19="",'Purchase Order SCRAFT'!C43="",'Purchase Order SCRAFT'!AC19=""),FALSE,TRUE)</f>
        <v>0</v>
      </c>
      <c r="P19" s="243" t="e">
        <f>IF(AND(Form_Type&lt;&gt;"OP",Form_Type&lt;&gt;"EX"),IF(VLOOKUP('Purchase Order SCRAFT'!Q19,AdditionalFrameTab,2,FALSE)&gt;0,(D19+E19+G19+H19+I19+K19+L19+M19)*5%,0),0)</f>
        <v>#N/A</v>
      </c>
      <c r="Q19" s="244" t="str">
        <f>IF(C19=0,IF(LEFT('Purchase Order SCRAFT'!C19,3)="Top",G19*('Purchase Order SCRAFT'!F19/1000)*V19,""),IF(ISERR(D19+E19+F19+G19+H19+I19+J19+K19+L19+M19+N19+W87),"POA",SUM(D19:P19)+W87))</f>
        <v/>
      </c>
      <c r="R19" s="244" t="e">
        <f t="shared" si="3"/>
        <v>#VALUE!</v>
      </c>
      <c r="S19" s="675">
        <f t="shared" si="4"/>
        <v>0</v>
      </c>
      <c r="T19" s="424">
        <f t="shared" ca="1" si="0"/>
        <v>0</v>
      </c>
      <c r="U19" s="243" t="str">
        <f t="shared" si="1"/>
        <v/>
      </c>
      <c r="V19" s="248">
        <f>'Purchase Order SCRAFT'!D19</f>
        <v>0</v>
      </c>
      <c r="W19" s="249">
        <f t="shared" si="2"/>
        <v>0</v>
      </c>
      <c r="AF19" s="210"/>
    </row>
    <row r="20" spans="1:32" x14ac:dyDescent="0.2">
      <c r="A20" s="4">
        <v>14</v>
      </c>
      <c r="B20" s="4" t="str">
        <f>'Purchase Order SCRAFT'!X68</f>
        <v xml:space="preserve"> </v>
      </c>
      <c r="C20" s="247">
        <f>IF(ISERR(SUM(('Purchase Order SCRAFT'!F20/1000)*('Purchase Order SCRAFT'!G20/1000))),0,SUM(('Purchase Order SCRAFT'!F20/1000)*('Purchase Order SCRAFT'!G20/1000)))</f>
        <v>0</v>
      </c>
      <c r="D20" s="243">
        <f>IF('Purchase Order SCRAFT'!Z20="",0,IF(Form_Type="Frame",0,IF(RIGHT('Purchase Order SCRAFT'!Z20,1)=")",VLOOKUP("Custom Colour",colourpricetab,2, FALSE)*C20,VLOOKUP('Purchase Order SCRAFT'!Z20,colourpricetab,2,FALSE)*C20)))</f>
        <v>0</v>
      </c>
      <c r="E20" s="243">
        <f ca="1">IF(ISNA(VLOOKUP('Purchase Order SCRAFT'!C20,ShapePriceTab,1,FALSE)),0,VLOOKUP('Purchase Order SCRAFT'!C20,ShapePriceTab,2,FALSE)+(IF(F66&gt;2,(F66-2)*VLOOKUP('Purchase Order SCRAFT'!C20,StandardShapes,3,FALSE),0)))</f>
        <v>0</v>
      </c>
      <c r="F20" s="243">
        <f ca="1">IF(OR('Purchase Order SCRAFT'!C20="",E20&gt;0),0,IF(VLOOKUP('Purchase Order SCRAFT'!C20,M_T_PriceTab,2,FALSE)="POA","POA",VLOOKUP('Purchase Order SCRAFT'!C20,M_T_PriceTab,2,FALSE)*IF(prefix="ss_",1,('Purchase Order SCRAFT'!F20/1000))))</f>
        <v>0</v>
      </c>
      <c r="G20" s="243">
        <f>IF('Purchase Order SCRAFT'!C20="",0,IF(Form_Type="OP",0,IF(Form_Type="EX",0,IF(Form_Type="Frame",(VLOOKUP('Purchase Order SCRAFT'!Q20,FramePriceTab,3,FALSE)*P88)+(VLOOKUP('Purchase Order SCRAFT'!C44,TPostPriceTab,2,FALSE)*'Pricing and calculations'!Q88)+IF(LEFT('Purchase Order SCRAFT'!D44,6)="Custom",12.5*('Purchase Order SCRAFT'!F20/1000)*('Purchase Order SCRAFT'!G20/1000),0),(VLOOKUP('Purchase Order SCRAFT'!Q20,FramePriceTab,2,FALSE)*L88*('Purchase Order SCRAFT'!G20/1000))+IF(LEFT('Purchase Order SCRAFT'!D44,6)="Custom",12.5*('Purchase Order SCRAFT'!F20/1000)*('Purchase Order SCRAFT'!G20/1000),0)))))</f>
        <v>0</v>
      </c>
      <c r="H20" s="243">
        <f>IF('Purchase Order SCRAFT'!M20="",0,IF(Form_Type="EX",0,VLOOKUP('Purchase Order SCRAFT'!M20,LvTransTab,2,FALSE)*C20))</f>
        <v>0</v>
      </c>
      <c r="I20" s="243">
        <f>IF(Form_Type="EX",0,'Purchase Order SCRAFT'!Y20*3)</f>
        <v>0</v>
      </c>
      <c r="J20" s="243">
        <f>IF(RIGHT('Purchase Order SCRAFT'!M20,4)="RC S",IF(AND(prefix&lt;&gt;"ss_",'Purchase Order SCRAFT'!E20=""),"POA",G66*RC_Solar_Cost),IF(RIGHT('Purchase Order SCRAFT'!M20,4)="RC B",IF('Purchase Order SCRAFT'!E20="","POA",G66*RC_Batt_Cost),0))</f>
        <v>0</v>
      </c>
      <c r="K20" s="243"/>
      <c r="L20" s="243">
        <f>IF(OR(prefix="ss_",'Purchase Order SCRAFT'!O20=""),0,VLOOKUP('Purchase Order SCRAFT'!O20,TiltRodPriceTab,2,FALSE)*C20)</f>
        <v>0</v>
      </c>
      <c r="M20" s="243">
        <f>IF('Purchase Order SCRAFT'!AC20="",0,VLOOKUP('Purchase Order SCRAFT'!AC20,hcPriceTab,2,FALSE)*C20)</f>
        <v>0</v>
      </c>
      <c r="N20" s="243" t="b">
        <f>IF(prefix="ss_",0,IF(LEFT('Purchase Order SCRAFT'!Q20,5)="Black",'Pricing and calculations'!C20*VLOOKUP('Purchase Order SCRAFT'!Q20,blackoutpricetab,4,FALSE)))</f>
        <v>0</v>
      </c>
      <c r="O20" s="243" t="b">
        <f>IF(OR('Purchase Order SCRAFT'!B20="",'Purchase Order SCRAFT'!C20="",'Purchase Order SCRAFT'!D20="",'Purchase Order SCRAFT'!E20="",'Purchase Order SCRAFT'!F20="",'Purchase Order SCRAFT'!G20="",'Purchase Order SCRAFT'!I20="",'Purchase Order SCRAFT'!J20="",'Purchase Order SCRAFT'!M20="",'Purchase Order SCRAFT'!O20="",'Purchase Order SCRAFT'!R20="",'Purchase Order SCRAFT'!V20="",'Purchase Order SCRAFT'!Y20="",'Purchase Order SCRAFT'!Z20="",'Purchase Order SCRAFT'!C44="",'Purchase Order SCRAFT'!AC20=""),FALSE,TRUE)</f>
        <v>0</v>
      </c>
      <c r="P20" s="243" t="e">
        <f>IF(AND(Form_Type&lt;&gt;"OP",Form_Type&lt;&gt;"EX"),IF(VLOOKUP('Purchase Order SCRAFT'!Q20,AdditionalFrameTab,2,FALSE)&gt;0,(D20+E20+G20+H20+I20+K20+L20+M20)*5%,0),0)</f>
        <v>#N/A</v>
      </c>
      <c r="Q20" s="244" t="str">
        <f>IF(C20=0,IF(LEFT('Purchase Order SCRAFT'!C20,3)="Top",G20*('Purchase Order SCRAFT'!F20/1000)*V20,""),IF(ISERR(D20+E20+F20+G20+H20+I20+J20+K20+L20+M20+N20+W88),"POA",SUM(D20:P20)+W88))</f>
        <v/>
      </c>
      <c r="R20" s="244" t="e">
        <f t="shared" si="3"/>
        <v>#VALUE!</v>
      </c>
      <c r="S20" s="675">
        <f t="shared" si="4"/>
        <v>0</v>
      </c>
      <c r="T20" s="424">
        <f t="shared" ca="1" si="0"/>
        <v>0</v>
      </c>
      <c r="U20" s="243" t="str">
        <f t="shared" si="1"/>
        <v/>
      </c>
      <c r="V20" s="248">
        <f>'Purchase Order SCRAFT'!D20</f>
        <v>0</v>
      </c>
      <c r="W20" s="249">
        <f t="shared" si="2"/>
        <v>0</v>
      </c>
      <c r="AF20" s="210"/>
    </row>
    <row r="21" spans="1:32" x14ac:dyDescent="0.2">
      <c r="A21" s="4">
        <v>15</v>
      </c>
      <c r="B21" s="4" t="str">
        <f>'Purchase Order SCRAFT'!X69</f>
        <v xml:space="preserve"> </v>
      </c>
      <c r="C21" s="247">
        <f>IF(ISERR(SUM(('Purchase Order SCRAFT'!F21/1000)*('Purchase Order SCRAFT'!G21/1000))),0,SUM(('Purchase Order SCRAFT'!F21/1000)*('Purchase Order SCRAFT'!G21/1000)))</f>
        <v>0</v>
      </c>
      <c r="D21" s="243">
        <f>IF('Purchase Order SCRAFT'!Z21="",0,IF(Form_Type="Frame",0,IF(RIGHT('Purchase Order SCRAFT'!Z21,1)=")",VLOOKUP("Custom Colour",colourpricetab,2, FALSE)*C21,VLOOKUP('Purchase Order SCRAFT'!Z21,colourpricetab,2,FALSE)*C21)))</f>
        <v>0</v>
      </c>
      <c r="E21" s="243">
        <f ca="1">IF(ISNA(VLOOKUP('Purchase Order SCRAFT'!C21,ShapePriceTab,1,FALSE)),0,VLOOKUP('Purchase Order SCRAFT'!C21,ShapePriceTab,2,FALSE)+(IF(F67&gt;2,(F67-2)*VLOOKUP('Purchase Order SCRAFT'!C21,StandardShapes,3,FALSE),0)))</f>
        <v>0</v>
      </c>
      <c r="F21" s="243">
        <f ca="1">IF(OR('Purchase Order SCRAFT'!C21="",E21&gt;0),0,IF(VLOOKUP('Purchase Order SCRAFT'!C21,M_T_PriceTab,2,FALSE)="POA","POA",VLOOKUP('Purchase Order SCRAFT'!C21,M_T_PriceTab,2,FALSE)*IF(prefix="ss_",1,('Purchase Order SCRAFT'!F21/1000))))</f>
        <v>0</v>
      </c>
      <c r="G21" s="243">
        <f>IF('Purchase Order SCRAFT'!C21="",0,IF(Form_Type="OP",0,IF(Form_Type="EX",0,IF(Form_Type="Frame",(VLOOKUP('Purchase Order SCRAFT'!Q21,FramePriceTab,3,FALSE)*P89)+(VLOOKUP('Purchase Order SCRAFT'!C45,TPostPriceTab,2,FALSE)*'Pricing and calculations'!Q89)+IF(LEFT('Purchase Order SCRAFT'!D45,6)="Custom",12.5*('Purchase Order SCRAFT'!F21/1000)*('Purchase Order SCRAFT'!G21/1000),0),(VLOOKUP('Purchase Order SCRAFT'!Q21,FramePriceTab,2,FALSE)*L89*('Purchase Order SCRAFT'!G21/1000))+IF(LEFT('Purchase Order SCRAFT'!D45,6)="Custom",12.5*('Purchase Order SCRAFT'!F21/1000)*('Purchase Order SCRAFT'!G21/1000),0)))))</f>
        <v>0</v>
      </c>
      <c r="H21" s="243">
        <f>IF('Purchase Order SCRAFT'!M21="",0,IF(Form_Type="EX",0,VLOOKUP('Purchase Order SCRAFT'!M21,LvTransTab,2,FALSE)*C21))</f>
        <v>0</v>
      </c>
      <c r="I21" s="243">
        <f>IF(Form_Type="EX",0,'Purchase Order SCRAFT'!Y21*3)</f>
        <v>0</v>
      </c>
      <c r="J21" s="243">
        <f>IF(RIGHT('Purchase Order SCRAFT'!M21,4)="RC S",IF(AND(prefix&lt;&gt;"ss_",'Purchase Order SCRAFT'!E21=""),"POA",G67*RC_Solar_Cost),IF(RIGHT('Purchase Order SCRAFT'!M21,4)="RC B",IF('Purchase Order SCRAFT'!E21="","POA",G67*RC_Batt_Cost),0))</f>
        <v>0</v>
      </c>
      <c r="K21" s="243"/>
      <c r="L21" s="243">
        <f>IF(OR(prefix="ss_",'Purchase Order SCRAFT'!O21=""),0,VLOOKUP('Purchase Order SCRAFT'!O21,TiltRodPriceTab,2,FALSE)*C21)</f>
        <v>0</v>
      </c>
      <c r="M21" s="243">
        <f>IF('Purchase Order SCRAFT'!AC21="",0,VLOOKUP('Purchase Order SCRAFT'!AC21,hcPriceTab,2,FALSE)*C21)</f>
        <v>0</v>
      </c>
      <c r="N21" s="243" t="b">
        <f>IF(prefix="ss_",0,IF(LEFT('Purchase Order SCRAFT'!Q21,5)="Black",'Pricing and calculations'!C21*VLOOKUP('Purchase Order SCRAFT'!Q21,blackoutpricetab,4,FALSE)))</f>
        <v>0</v>
      </c>
      <c r="O21" s="243" t="b">
        <f>IF(OR('Purchase Order SCRAFT'!B21="",'Purchase Order SCRAFT'!C21="",'Purchase Order SCRAFT'!D21="",'Purchase Order SCRAFT'!E21="",'Purchase Order SCRAFT'!F21="",'Purchase Order SCRAFT'!G21="",'Purchase Order SCRAFT'!I21="",'Purchase Order SCRAFT'!J21="",'Purchase Order SCRAFT'!M21="",'Purchase Order SCRAFT'!O21="",'Purchase Order SCRAFT'!R21="",'Purchase Order SCRAFT'!V21="",'Purchase Order SCRAFT'!Y21="",'Purchase Order SCRAFT'!Z21="",'Purchase Order SCRAFT'!C45="",'Purchase Order SCRAFT'!AC21=""),FALSE,TRUE)</f>
        <v>0</v>
      </c>
      <c r="P21" s="243" t="e">
        <f>IF(AND(Form_Type&lt;&gt;"OP",Form_Type&lt;&gt;"EX"),IF(VLOOKUP('Purchase Order SCRAFT'!Q21,AdditionalFrameTab,2,FALSE)&gt;0,(D21+E21+G21+H21+I21+K21+L21+M21)*5%,0),0)</f>
        <v>#N/A</v>
      </c>
      <c r="Q21" s="244" t="str">
        <f>IF(C21=0,IF(LEFT('Purchase Order SCRAFT'!C21,3)="Top",G21*('Purchase Order SCRAFT'!F21/1000)*V21,""),IF(ISERR(D21+E21+F21+G21+H21+I21+J21+K21+L21+M21+N21+W89),"POA",SUM(D21:P21)+W89))</f>
        <v/>
      </c>
      <c r="R21" s="244" t="e">
        <f t="shared" si="3"/>
        <v>#VALUE!</v>
      </c>
      <c r="S21" s="675">
        <f t="shared" si="4"/>
        <v>0</v>
      </c>
      <c r="T21" s="424">
        <f t="shared" ca="1" si="0"/>
        <v>0</v>
      </c>
      <c r="U21" s="243" t="str">
        <f t="shared" si="1"/>
        <v/>
      </c>
      <c r="V21" s="248">
        <f>'Purchase Order SCRAFT'!D21</f>
        <v>0</v>
      </c>
      <c r="W21" s="249">
        <f t="shared" si="2"/>
        <v>0</v>
      </c>
      <c r="AF21" s="210"/>
    </row>
    <row r="22" spans="1:32" x14ac:dyDescent="0.2">
      <c r="A22" s="4">
        <v>16</v>
      </c>
      <c r="B22" s="4" t="str">
        <f>'Purchase Order SCRAFT'!X70</f>
        <v xml:space="preserve"> </v>
      </c>
      <c r="C22" s="247">
        <f>IF(ISERR(SUM(('Purchase Order SCRAFT'!F22/1000)*('Purchase Order SCRAFT'!G22/1000))),0,SUM(('Purchase Order SCRAFT'!F22/1000)*('Purchase Order SCRAFT'!G22/1000)))</f>
        <v>0</v>
      </c>
      <c r="D22" s="243">
        <f>IF('Purchase Order SCRAFT'!Z22="",0,IF(Form_Type="Frame",0,IF(RIGHT('Purchase Order SCRAFT'!Z22,1)=")",VLOOKUP("Custom Colour",colourpricetab,2, FALSE)*C22,VLOOKUP('Purchase Order SCRAFT'!Z22,colourpricetab,2,FALSE)*C22)))</f>
        <v>0</v>
      </c>
      <c r="E22" s="243">
        <f ca="1">IF(ISNA(VLOOKUP('Purchase Order SCRAFT'!C22,ShapePriceTab,1,FALSE)),0,VLOOKUP('Purchase Order SCRAFT'!C22,ShapePriceTab,2,FALSE)+(IF(F68&gt;2,(F68-2)*VLOOKUP('Purchase Order SCRAFT'!C22,StandardShapes,3,FALSE),0)))</f>
        <v>0</v>
      </c>
      <c r="F22" s="243">
        <f ca="1">IF(OR('Purchase Order SCRAFT'!C22="",E22&gt;0),0,IF(VLOOKUP('Purchase Order SCRAFT'!C22,M_T_PriceTab,2,FALSE)="POA","POA",VLOOKUP('Purchase Order SCRAFT'!C22,M_T_PriceTab,2,FALSE)*IF(prefix="ss_",1,('Purchase Order SCRAFT'!F22/1000))))</f>
        <v>0</v>
      </c>
      <c r="G22" s="243">
        <f>IF('Purchase Order SCRAFT'!C22="",0,IF(Form_Type="OP",0,IF(Form_Type="EX",0,IF(Form_Type="Frame",(VLOOKUP('Purchase Order SCRAFT'!Q22,FramePriceTab,3,FALSE)*P90)+(VLOOKUP('Purchase Order SCRAFT'!C46,TPostPriceTab,2,FALSE)*'Pricing and calculations'!Q90)+IF(LEFT('Purchase Order SCRAFT'!D46,6)="Custom",12.5*('Purchase Order SCRAFT'!F22/1000)*('Purchase Order SCRAFT'!G22/1000),0),(VLOOKUP('Purchase Order SCRAFT'!Q22,FramePriceTab,2,FALSE)*L90*('Purchase Order SCRAFT'!G22/1000))+IF(LEFT('Purchase Order SCRAFT'!D46,6)="Custom",12.5*('Purchase Order SCRAFT'!F22/1000)*('Purchase Order SCRAFT'!G22/1000),0)))))</f>
        <v>0</v>
      </c>
      <c r="H22" s="243">
        <f>IF('Purchase Order SCRAFT'!M22="",0,IF(Form_Type="EX",0,VLOOKUP('Purchase Order SCRAFT'!M22,LvTransTab,2,FALSE)*C22))</f>
        <v>0</v>
      </c>
      <c r="I22" s="243">
        <f>IF(Form_Type="EX",0,'Purchase Order SCRAFT'!Y22*3)</f>
        <v>0</v>
      </c>
      <c r="J22" s="243">
        <f>IF(RIGHT('Purchase Order SCRAFT'!M22,4)="RC S",IF(AND(prefix&lt;&gt;"ss_",'Purchase Order SCRAFT'!E22=""),"POA",G68*RC_Solar_Cost),IF(RIGHT('Purchase Order SCRAFT'!M22,4)="RC B",IF('Purchase Order SCRAFT'!E22="","POA",G68*RC_Batt_Cost),0))</f>
        <v>0</v>
      </c>
      <c r="K22" s="243"/>
      <c r="L22" s="243">
        <f>IF(OR(prefix="ss_",'Purchase Order SCRAFT'!O22=""),0,VLOOKUP('Purchase Order SCRAFT'!O22,TiltRodPriceTab,2,FALSE)*C22)</f>
        <v>0</v>
      </c>
      <c r="M22" s="243">
        <f>IF('Purchase Order SCRAFT'!AC22="",0,VLOOKUP('Purchase Order SCRAFT'!AC22,hcPriceTab,2,FALSE)*C22)</f>
        <v>0</v>
      </c>
      <c r="N22" s="243" t="b">
        <f>IF(prefix="ss_",0,IF(LEFT('Purchase Order SCRAFT'!Q22,5)="Black",'Pricing and calculations'!C22*VLOOKUP('Purchase Order SCRAFT'!Q22,blackoutpricetab,4,FALSE)))</f>
        <v>0</v>
      </c>
      <c r="O22" s="243" t="b">
        <f>IF(OR('Purchase Order SCRAFT'!B22="",'Purchase Order SCRAFT'!C22="",'Purchase Order SCRAFT'!D22="",'Purchase Order SCRAFT'!E22="",'Purchase Order SCRAFT'!F22="",'Purchase Order SCRAFT'!G22="",'Purchase Order SCRAFT'!I22="",'Purchase Order SCRAFT'!J22="",'Purchase Order SCRAFT'!M22="",'Purchase Order SCRAFT'!O22="",'Purchase Order SCRAFT'!R22="",'Purchase Order SCRAFT'!V22="",'Purchase Order SCRAFT'!Y22="",'Purchase Order SCRAFT'!Z22="",'Purchase Order SCRAFT'!C46="",'Purchase Order SCRAFT'!AC22=""),FALSE,TRUE)</f>
        <v>0</v>
      </c>
      <c r="P22" s="243" t="e">
        <f>IF(AND(Form_Type&lt;&gt;"OP",Form_Type&lt;&gt;"EX"),IF(VLOOKUP('Purchase Order SCRAFT'!Q22,AdditionalFrameTab,2,FALSE)&gt;0,(D22+E22+G22+H22+I22+K22+L22+M22)*5%,0),0)</f>
        <v>#N/A</v>
      </c>
      <c r="Q22" s="244" t="str">
        <f>IF(C22=0,IF(LEFT('Purchase Order SCRAFT'!C22,3)="Top",G22*('Purchase Order SCRAFT'!F22/1000)*V22,""),IF(ISERR(D22+E22+F22+G22+H22+I22+J22+K22+L22+M22+N22+W90),"POA",SUM(D22:P22)+W90))</f>
        <v/>
      </c>
      <c r="R22" s="244" t="e">
        <f t="shared" si="3"/>
        <v>#VALUE!</v>
      </c>
      <c r="S22" s="675">
        <f t="shared" si="4"/>
        <v>0</v>
      </c>
      <c r="T22" s="424">
        <f t="shared" ca="1" si="0"/>
        <v>0</v>
      </c>
      <c r="U22" s="243" t="str">
        <f t="shared" si="1"/>
        <v/>
      </c>
      <c r="V22" s="248">
        <f>'Purchase Order SCRAFT'!D22</f>
        <v>0</v>
      </c>
      <c r="W22" s="249">
        <f t="shared" si="2"/>
        <v>0</v>
      </c>
      <c r="AF22" s="210"/>
    </row>
    <row r="23" spans="1:32" x14ac:dyDescent="0.2">
      <c r="A23" s="4">
        <v>17</v>
      </c>
      <c r="B23" s="4" t="str">
        <f>'Purchase Order SCRAFT'!X71</f>
        <v xml:space="preserve"> </v>
      </c>
      <c r="C23" s="247">
        <f>IF(ISERR(SUM(('Purchase Order SCRAFT'!F23/1000)*('Purchase Order SCRAFT'!G23/1000))),0,SUM(('Purchase Order SCRAFT'!F23/1000)*('Purchase Order SCRAFT'!G23/1000)))</f>
        <v>0</v>
      </c>
      <c r="D23" s="243">
        <f>IF('Purchase Order SCRAFT'!Z23="",0,IF(Form_Type="Frame",0,IF(RIGHT('Purchase Order SCRAFT'!Z23,1)=")",VLOOKUP("Custom Colour",colourpricetab,2, FALSE)*C23,VLOOKUP('Purchase Order SCRAFT'!Z23,colourpricetab,2,FALSE)*C23)))</f>
        <v>0</v>
      </c>
      <c r="E23" s="243">
        <f ca="1">IF(ISNA(VLOOKUP('Purchase Order SCRAFT'!C23,ShapePriceTab,1,FALSE)),0,VLOOKUP('Purchase Order SCRAFT'!C23,ShapePriceTab,2,FALSE)+(IF(F69&gt;2,(F69-2)*VLOOKUP('Purchase Order SCRAFT'!C23,StandardShapes,3,FALSE),0)))</f>
        <v>0</v>
      </c>
      <c r="F23" s="243">
        <f ca="1">IF(OR('Purchase Order SCRAFT'!C23="",E23&gt;0),0,IF(VLOOKUP('Purchase Order SCRAFT'!C23,M_T_PriceTab,2,FALSE)="POA","POA",VLOOKUP('Purchase Order SCRAFT'!C23,M_T_PriceTab,2,FALSE)*IF(prefix="ss_",1,('Purchase Order SCRAFT'!F23/1000))))</f>
        <v>0</v>
      </c>
      <c r="G23" s="243">
        <f>IF('Purchase Order SCRAFT'!C23="",0,IF(Form_Type="OP",0,IF(Form_Type="EX",0,IF(Form_Type="Frame",(VLOOKUP('Purchase Order SCRAFT'!Q23,FramePriceTab,3,FALSE)*P91)+(VLOOKUP('Purchase Order SCRAFT'!C47,TPostPriceTab,2,FALSE)*'Pricing and calculations'!Q91)+IF(LEFT('Purchase Order SCRAFT'!D47,6)="Custom",12.5*('Purchase Order SCRAFT'!F23/1000)*('Purchase Order SCRAFT'!G23/1000),0),(VLOOKUP('Purchase Order SCRAFT'!Q23,FramePriceTab,2,FALSE)*L91*('Purchase Order SCRAFT'!G23/1000))+IF(LEFT('Purchase Order SCRAFT'!D47,6)="Custom",12.5*('Purchase Order SCRAFT'!F23/1000)*('Purchase Order SCRAFT'!G23/1000),0)))))</f>
        <v>0</v>
      </c>
      <c r="H23" s="243">
        <f>IF('Purchase Order SCRAFT'!M23="",0,IF(Form_Type="EX",0,VLOOKUP('Purchase Order SCRAFT'!M23,LvTransTab,2,FALSE)*C23))</f>
        <v>0</v>
      </c>
      <c r="I23" s="243">
        <f>IF(Form_Type="EX",0,'Purchase Order SCRAFT'!Y23*3)</f>
        <v>0</v>
      </c>
      <c r="J23" s="243">
        <f>IF(RIGHT('Purchase Order SCRAFT'!M23,4)="RC S",IF(AND(prefix&lt;&gt;"ss_",'Purchase Order SCRAFT'!E23=""),"POA",G69*RC_Solar_Cost),IF(RIGHT('Purchase Order SCRAFT'!M23,4)="RC B",IF('Purchase Order SCRAFT'!E23="","POA",G69*RC_Batt_Cost),0))</f>
        <v>0</v>
      </c>
      <c r="K23" s="243"/>
      <c r="L23" s="243">
        <f>IF(OR(prefix="ss_",'Purchase Order SCRAFT'!O23=""),0,VLOOKUP('Purchase Order SCRAFT'!O23,TiltRodPriceTab,2,FALSE)*C23)</f>
        <v>0</v>
      </c>
      <c r="M23" s="243">
        <f>IF('Purchase Order SCRAFT'!AC23="",0,VLOOKUP('Purchase Order SCRAFT'!AC23,hcPriceTab,2,FALSE)*C23)</f>
        <v>0</v>
      </c>
      <c r="N23" s="243" t="b">
        <f>IF(prefix="ss_",0,IF(LEFT('Purchase Order SCRAFT'!Q23,5)="Black",'Pricing and calculations'!C23*VLOOKUP('Purchase Order SCRAFT'!Q23,blackoutpricetab,4,FALSE)))</f>
        <v>0</v>
      </c>
      <c r="O23" s="243" t="b">
        <f>IF(OR('Purchase Order SCRAFT'!B23="",'Purchase Order SCRAFT'!C23="",'Purchase Order SCRAFT'!D23="",'Purchase Order SCRAFT'!E23="",'Purchase Order SCRAFT'!F23="",'Purchase Order SCRAFT'!G23="",'Purchase Order SCRAFT'!I23="",'Purchase Order SCRAFT'!J23="",'Purchase Order SCRAFT'!M23="",'Purchase Order SCRAFT'!O23="",'Purchase Order SCRAFT'!R23="",'Purchase Order SCRAFT'!V23="",'Purchase Order SCRAFT'!Y23="",'Purchase Order SCRAFT'!Z23="",'Purchase Order SCRAFT'!C47="",'Purchase Order SCRAFT'!AC23=""),FALSE,TRUE)</f>
        <v>0</v>
      </c>
      <c r="P23" s="243" t="e">
        <f>IF(AND(Form_Type&lt;&gt;"OP",Form_Type&lt;&gt;"EX"),IF(VLOOKUP('Purchase Order SCRAFT'!Q23,AdditionalFrameTab,2,FALSE)&gt;0,(D23+E23+G23+H23+I23+K23+L23+M23)*5%,0),0)</f>
        <v>#N/A</v>
      </c>
      <c r="Q23" s="244" t="str">
        <f>IF(C23=0,IF(LEFT('Purchase Order SCRAFT'!C23,3)="Top",G23*('Purchase Order SCRAFT'!F23/1000)*V23,""),IF(ISERR(D23+E23+F23+G23+H23+I23+J23+K23+L23+M23+N23+W91),"POA",SUM(D23:P23)+W91))</f>
        <v/>
      </c>
      <c r="R23" s="244" t="e">
        <f t="shared" si="3"/>
        <v>#VALUE!</v>
      </c>
      <c r="S23" s="675">
        <f t="shared" si="4"/>
        <v>0</v>
      </c>
      <c r="T23" s="424">
        <f t="shared" ca="1" si="0"/>
        <v>0</v>
      </c>
      <c r="U23" s="243" t="str">
        <f t="shared" si="1"/>
        <v/>
      </c>
      <c r="V23" s="248">
        <f>'Purchase Order SCRAFT'!D23</f>
        <v>0</v>
      </c>
      <c r="W23" s="249">
        <f t="shared" si="2"/>
        <v>0</v>
      </c>
      <c r="AF23" s="210"/>
    </row>
    <row r="24" spans="1:32" x14ac:dyDescent="0.2">
      <c r="A24" s="4">
        <v>18</v>
      </c>
      <c r="B24" s="4" t="str">
        <f>'Purchase Order SCRAFT'!X72</f>
        <v xml:space="preserve"> </v>
      </c>
      <c r="C24" s="247">
        <f>IF(ISERR(SUM(('Purchase Order SCRAFT'!F24/1000)*('Purchase Order SCRAFT'!G24/1000))),0,SUM(('Purchase Order SCRAFT'!F24/1000)*('Purchase Order SCRAFT'!G24/1000)))</f>
        <v>0</v>
      </c>
      <c r="D24" s="243">
        <f>IF('Purchase Order SCRAFT'!Z24="",0,IF(Form_Type="Frame",0,IF(RIGHT('Purchase Order SCRAFT'!Z24,1)=")",VLOOKUP("Custom Colour",colourpricetab,2, FALSE)*C24,VLOOKUP('Purchase Order SCRAFT'!Z24,colourpricetab,2,FALSE)*C24)))</f>
        <v>0</v>
      </c>
      <c r="E24" s="243">
        <f ca="1">IF(ISNA(VLOOKUP('Purchase Order SCRAFT'!C24,ShapePriceTab,1,FALSE)),0,VLOOKUP('Purchase Order SCRAFT'!C24,ShapePriceTab,2,FALSE)+(IF(F70&gt;2,(F70-2)*VLOOKUP('Purchase Order SCRAFT'!C24,StandardShapes,3,FALSE),0)))</f>
        <v>0</v>
      </c>
      <c r="F24" s="243">
        <f ca="1">IF(OR('Purchase Order SCRAFT'!C24="",E24&gt;0),0,IF(VLOOKUP('Purchase Order SCRAFT'!C24,M_T_PriceTab,2,FALSE)="POA","POA",VLOOKUP('Purchase Order SCRAFT'!C24,M_T_PriceTab,2,FALSE)*IF(prefix="ss_",1,('Purchase Order SCRAFT'!F24/1000))))</f>
        <v>0</v>
      </c>
      <c r="G24" s="243">
        <f>IF('Purchase Order SCRAFT'!C24="",0,IF(Form_Type="OP",0,IF(Form_Type="EX",0,IF(Form_Type="Frame",(VLOOKUP('Purchase Order SCRAFT'!Q24,FramePriceTab,3,FALSE)*P92)+(VLOOKUP('Purchase Order SCRAFT'!C48,TPostPriceTab,2,FALSE)*'Pricing and calculations'!Q92)+IF(LEFT('Purchase Order SCRAFT'!D48,6)="Custom",12.5*('Purchase Order SCRAFT'!F24/1000)*('Purchase Order SCRAFT'!G24/1000),0),(VLOOKUP('Purchase Order SCRAFT'!Q24,FramePriceTab,2,FALSE)*L92*('Purchase Order SCRAFT'!G24/1000))+IF(LEFT('Purchase Order SCRAFT'!D48,6)="Custom",12.5*('Purchase Order SCRAFT'!F24/1000)*('Purchase Order SCRAFT'!G24/1000),0)))))</f>
        <v>0</v>
      </c>
      <c r="H24" s="243">
        <f>IF('Purchase Order SCRAFT'!M24="",0,IF(Form_Type="EX",0,VLOOKUP('Purchase Order SCRAFT'!M24,LvTransTab,2,FALSE)*C24))</f>
        <v>0</v>
      </c>
      <c r="I24" s="243">
        <f>IF(Form_Type="EX",0,'Purchase Order SCRAFT'!Y24*3)</f>
        <v>0</v>
      </c>
      <c r="J24" s="243">
        <f>IF(RIGHT('Purchase Order SCRAFT'!M24,4)="RC S",IF(AND(prefix&lt;&gt;"ss_",'Purchase Order SCRAFT'!E24=""),"POA",G70*RC_Solar_Cost),IF(RIGHT('Purchase Order SCRAFT'!M24,4)="RC B",IF('Purchase Order SCRAFT'!E24="","POA",G70*RC_Batt_Cost),0))</f>
        <v>0</v>
      </c>
      <c r="K24" s="243"/>
      <c r="L24" s="243">
        <f>IF(OR(prefix="ss_",'Purchase Order SCRAFT'!O24=""),0,VLOOKUP('Purchase Order SCRAFT'!O24,TiltRodPriceTab,2,FALSE)*C24)</f>
        <v>0</v>
      </c>
      <c r="M24" s="243">
        <f>IF('Purchase Order SCRAFT'!AC24="",0,VLOOKUP('Purchase Order SCRAFT'!AC24,hcPriceTab,2,FALSE)*C24)</f>
        <v>0</v>
      </c>
      <c r="N24" s="243" t="b">
        <f>IF(prefix="ss_",0,IF(LEFT('Purchase Order SCRAFT'!Q24,5)="Black",'Pricing and calculations'!C24*VLOOKUP('Purchase Order SCRAFT'!Q24,blackoutpricetab,4,FALSE)))</f>
        <v>0</v>
      </c>
      <c r="O24" s="243" t="b">
        <f>IF(OR('Purchase Order SCRAFT'!B24="",'Purchase Order SCRAFT'!C24="",'Purchase Order SCRAFT'!D24="",'Purchase Order SCRAFT'!E24="",'Purchase Order SCRAFT'!F24="",'Purchase Order SCRAFT'!G24="",'Purchase Order SCRAFT'!I24="",'Purchase Order SCRAFT'!J24="",'Purchase Order SCRAFT'!M24="",'Purchase Order SCRAFT'!O24="",'Purchase Order SCRAFT'!R24="",'Purchase Order SCRAFT'!V24="",'Purchase Order SCRAFT'!Y24="",'Purchase Order SCRAFT'!Z24="",'Purchase Order SCRAFT'!C48="",'Purchase Order SCRAFT'!AC24=""),FALSE,TRUE)</f>
        <v>0</v>
      </c>
      <c r="P24" s="243" t="e">
        <f>IF(AND(Form_Type&lt;&gt;"OP",Form_Type&lt;&gt;"EX"),IF(VLOOKUP('Purchase Order SCRAFT'!Q24,AdditionalFrameTab,2,FALSE)&gt;0,(D24+E24+G24+H24+I24+K24+L24+M24)*5%,0),0)</f>
        <v>#N/A</v>
      </c>
      <c r="Q24" s="244" t="str">
        <f>IF(C24=0,IF(LEFT('Purchase Order SCRAFT'!C24,3)="Top",G24*('Purchase Order SCRAFT'!F24/1000)*V24,""),IF(ISERR(D24+E24+F24+G24+H24+I24+J24+K24+L24+M24+N24+W92),"POA",SUM(D24:P24)+W92))</f>
        <v/>
      </c>
      <c r="R24" s="244" t="e">
        <f t="shared" si="3"/>
        <v>#VALUE!</v>
      </c>
      <c r="S24" s="675">
        <f t="shared" si="4"/>
        <v>0</v>
      </c>
      <c r="T24" s="424">
        <f t="shared" ca="1" si="0"/>
        <v>0</v>
      </c>
      <c r="U24" s="243" t="str">
        <f t="shared" si="1"/>
        <v/>
      </c>
      <c r="V24" s="248">
        <f>'Purchase Order SCRAFT'!D24</f>
        <v>0</v>
      </c>
      <c r="W24" s="249">
        <f t="shared" si="2"/>
        <v>0</v>
      </c>
      <c r="AF24" s="210"/>
    </row>
    <row r="25" spans="1:32" x14ac:dyDescent="0.2">
      <c r="A25" s="4">
        <v>19</v>
      </c>
      <c r="B25" s="4" t="str">
        <f>'Purchase Order SCRAFT'!X73</f>
        <v xml:space="preserve"> </v>
      </c>
      <c r="C25" s="247">
        <f>IF(ISERR(SUM(('Purchase Order SCRAFT'!F25/1000)*('Purchase Order SCRAFT'!G25/1000))),0,SUM(('Purchase Order SCRAFT'!F25/1000)*('Purchase Order SCRAFT'!G25/1000)))</f>
        <v>0</v>
      </c>
      <c r="D25" s="243">
        <f>IF('Purchase Order SCRAFT'!Z25="",0,IF(Form_Type="Frame",0,IF(RIGHT('Purchase Order SCRAFT'!Z25,1)=")",VLOOKUP("Custom Colour",colourpricetab,2, FALSE)*C25,VLOOKUP('Purchase Order SCRAFT'!Z25,colourpricetab,2,FALSE)*C25)))</f>
        <v>0</v>
      </c>
      <c r="E25" s="243">
        <f ca="1">IF(ISNA(VLOOKUP('Purchase Order SCRAFT'!C25,ShapePriceTab,1,FALSE)),0,VLOOKUP('Purchase Order SCRAFT'!C25,ShapePriceTab,2,FALSE)+(IF(F71&gt;2,(F71-2)*VLOOKUP('Purchase Order SCRAFT'!C25,StandardShapes,3,FALSE),0)))</f>
        <v>0</v>
      </c>
      <c r="F25" s="243">
        <f ca="1">IF(OR('Purchase Order SCRAFT'!C25="",E25&gt;0),0,IF(VLOOKUP('Purchase Order SCRAFT'!C25,M_T_PriceTab,2,FALSE)="POA","POA",VLOOKUP('Purchase Order SCRAFT'!C25,M_T_PriceTab,2,FALSE)*IF(prefix="ss_",1,('Purchase Order SCRAFT'!F25/1000))))</f>
        <v>0</v>
      </c>
      <c r="G25" s="243">
        <f>IF('Purchase Order SCRAFT'!C25="",0,IF(Form_Type="OP",0,IF(Form_Type="EX",0,IF(Form_Type="Frame",(VLOOKUP('Purchase Order SCRAFT'!Q25,FramePriceTab,3,FALSE)*P93)+(VLOOKUP('Purchase Order SCRAFT'!C49,TPostPriceTab,2,FALSE)*'Pricing and calculations'!Q93)+IF(LEFT('Purchase Order SCRAFT'!D49,6)="Custom",12.5*('Purchase Order SCRAFT'!F25/1000)*('Purchase Order SCRAFT'!G25/1000),0),(VLOOKUP('Purchase Order SCRAFT'!Q25,FramePriceTab,2,FALSE)*L93*('Purchase Order SCRAFT'!G25/1000))+IF(LEFT('Purchase Order SCRAFT'!D49,6)="Custom",12.5*('Purchase Order SCRAFT'!F25/1000)*('Purchase Order SCRAFT'!G25/1000),0)))))</f>
        <v>0</v>
      </c>
      <c r="H25" s="243">
        <f>IF('Purchase Order SCRAFT'!M25="",0,IF(Form_Type="EX",0,VLOOKUP('Purchase Order SCRAFT'!M25,LvTransTab,2,FALSE)*C25))</f>
        <v>0</v>
      </c>
      <c r="I25" s="243">
        <f>IF(Form_Type="EX",0,'Purchase Order SCRAFT'!Y25*3)</f>
        <v>0</v>
      </c>
      <c r="J25" s="243">
        <f>IF(RIGHT('Purchase Order SCRAFT'!M25,4)="RC S",IF(AND(prefix&lt;&gt;"ss_",'Purchase Order SCRAFT'!E25=""),"POA",G71*RC_Solar_Cost),IF(RIGHT('Purchase Order SCRAFT'!M25,4)="RC B",IF('Purchase Order SCRAFT'!E25="","POA",G71*RC_Batt_Cost),0))</f>
        <v>0</v>
      </c>
      <c r="K25" s="243"/>
      <c r="L25" s="243">
        <f>IF(OR(prefix="ss_",'Purchase Order SCRAFT'!O25=""),0,VLOOKUP('Purchase Order SCRAFT'!O25,TiltRodPriceTab,2,FALSE)*C25)</f>
        <v>0</v>
      </c>
      <c r="M25" s="243">
        <f>IF('Purchase Order SCRAFT'!AC25="",0,VLOOKUP('Purchase Order SCRAFT'!AC25,hcPriceTab,2,FALSE)*C25)</f>
        <v>0</v>
      </c>
      <c r="N25" s="243" t="b">
        <f>IF(prefix="ss_",0,IF(LEFT('Purchase Order SCRAFT'!Q25,5)="Black",'Pricing and calculations'!C25*VLOOKUP('Purchase Order SCRAFT'!Q25,blackoutpricetab,4,FALSE)))</f>
        <v>0</v>
      </c>
      <c r="O25" s="243" t="b">
        <f>IF(OR('Purchase Order SCRAFT'!B25="",'Purchase Order SCRAFT'!C25="",'Purchase Order SCRAFT'!D25="",'Purchase Order SCRAFT'!E25="",'Purchase Order SCRAFT'!F25="",'Purchase Order SCRAFT'!G25="",'Purchase Order SCRAFT'!I25="",'Purchase Order SCRAFT'!J25="",'Purchase Order SCRAFT'!M25="",'Purchase Order SCRAFT'!O25="",'Purchase Order SCRAFT'!R25="",'Purchase Order SCRAFT'!V25="",'Purchase Order SCRAFT'!Y25="",'Purchase Order SCRAFT'!Z25="",'Purchase Order SCRAFT'!C49="",'Purchase Order SCRAFT'!AC25=""),FALSE,TRUE)</f>
        <v>0</v>
      </c>
      <c r="P25" s="243" t="e">
        <f>IF(AND(Form_Type&lt;&gt;"OP",Form_Type&lt;&gt;"EX"),IF(VLOOKUP('Purchase Order SCRAFT'!Q25,AdditionalFrameTab,2,FALSE)&gt;0,(D25+E25+G25+H25+I25+K25+L25+M25)*5%,0),0)</f>
        <v>#N/A</v>
      </c>
      <c r="Q25" s="244" t="str">
        <f>IF(C25=0,IF(LEFT('Purchase Order SCRAFT'!C25,3)="Top",G25*('Purchase Order SCRAFT'!F25/1000)*V25,""),IF(ISERR(D25+E25+F25+G25+H25+I25+J25+K25+L25+M25+N25+W93),"POA",SUM(D25:P25)+W93))</f>
        <v/>
      </c>
      <c r="R25" s="244" t="e">
        <f t="shared" si="3"/>
        <v>#VALUE!</v>
      </c>
      <c r="S25" s="675">
        <f t="shared" si="4"/>
        <v>0</v>
      </c>
      <c r="T25" s="424">
        <f t="shared" ca="1" si="0"/>
        <v>0</v>
      </c>
      <c r="U25" s="243" t="str">
        <f t="shared" si="1"/>
        <v/>
      </c>
      <c r="V25" s="248">
        <f>'Purchase Order SCRAFT'!D25</f>
        <v>0</v>
      </c>
      <c r="W25" s="249">
        <f t="shared" si="2"/>
        <v>0</v>
      </c>
    </row>
    <row r="26" spans="1:32" ht="15.75" thickBot="1" x14ac:dyDescent="0.25">
      <c r="A26" s="5">
        <v>20</v>
      </c>
      <c r="B26" s="5" t="str">
        <f>'Purchase Order SCRAFT'!X74</f>
        <v xml:space="preserve"> </v>
      </c>
      <c r="C26" s="250">
        <f>IF(ISERR(SUM(('Purchase Order SCRAFT'!F26/1000)*('Purchase Order SCRAFT'!G26/1000))),0,SUM(('Purchase Order SCRAFT'!F26/1000)*('Purchase Order SCRAFT'!G26/1000)))</f>
        <v>0</v>
      </c>
      <c r="D26" s="251">
        <f>IF('Purchase Order SCRAFT'!Z26="",0,IF(Form_Type="Frame",0,IF(RIGHT('Purchase Order SCRAFT'!Z26,1)=")",VLOOKUP("Custom Colour",colourpricetab,2, FALSE)*C26,VLOOKUP('Purchase Order SCRAFT'!Z26,colourpricetab,2,FALSE)*C26)))</f>
        <v>0</v>
      </c>
      <c r="E26" s="251">
        <f ca="1">IF(ISNA(VLOOKUP('Purchase Order SCRAFT'!C26,ShapePriceTab,1,FALSE)),0,VLOOKUP('Purchase Order SCRAFT'!C26,ShapePriceTab,2,FALSE)+(IF(F72&gt;2,(F72-2)*VLOOKUP('Purchase Order SCRAFT'!C26,StandardShapes,3,FALSE),0)))</f>
        <v>0</v>
      </c>
      <c r="F26" s="251">
        <f ca="1">IF(OR('Purchase Order SCRAFT'!C26="",E26&gt;0),0,IF(VLOOKUP('Purchase Order SCRAFT'!C26,M_T_PriceTab,2,FALSE)="POA","POA",VLOOKUP('Purchase Order SCRAFT'!C26,M_T_PriceTab,2,FALSE)*IF(prefix="ss_",1,('Purchase Order SCRAFT'!F26/1000))))</f>
        <v>0</v>
      </c>
      <c r="G26" s="251">
        <f>IF('Purchase Order SCRAFT'!C26="",0,IF(Form_Type="OP",0,IF(Form_Type="EX",0,IF(Form_Type="Frame",(VLOOKUP('Purchase Order SCRAFT'!Q26,FramePriceTab,3,FALSE)*P94)+(VLOOKUP('Purchase Order SCRAFT'!C50,TPostPriceTab,2,FALSE)*'Pricing and calculations'!Q94)+IF(LEFT('Purchase Order SCRAFT'!D50,6)="Custom",12.5*('Purchase Order SCRAFT'!F26/1000)*('Purchase Order SCRAFT'!G26/1000),0),(VLOOKUP('Purchase Order SCRAFT'!Q26,FramePriceTab,2,FALSE)*L94*('Purchase Order SCRAFT'!G26/1000))+IF(LEFT('Purchase Order SCRAFT'!D50,6)="Custom",12.5*('Purchase Order SCRAFT'!F26/1000)*('Purchase Order SCRAFT'!G26/1000),0)))))</f>
        <v>0</v>
      </c>
      <c r="H26" s="251">
        <f>IF('Purchase Order SCRAFT'!M26="",0,IF(Form_Type="EX",0,VLOOKUP('Purchase Order SCRAFT'!M26,LvTransTab,2,FALSE)*C26))</f>
        <v>0</v>
      </c>
      <c r="I26" s="243">
        <f>IF(Form_Type="EX",0,'Purchase Order SCRAFT'!Y26*3)</f>
        <v>0</v>
      </c>
      <c r="J26" s="243">
        <f>IF(RIGHT('Purchase Order SCRAFT'!M26,4)="RC S",IF(AND(prefix&lt;&gt;"ss_",'Purchase Order SCRAFT'!E26=""),"POA",G72*RC_Solar_Cost),IF(RIGHT('Purchase Order SCRAFT'!M26,4)="RC B",IF('Purchase Order SCRAFT'!E26="","POA",G72*RC_Batt_Cost),0))</f>
        <v>0</v>
      </c>
      <c r="K26" s="251"/>
      <c r="L26" s="251">
        <f>IF(OR(prefix="ss_",'Purchase Order SCRAFT'!O26=""),0,VLOOKUP('Purchase Order SCRAFT'!O26,TiltRodPriceTab,2,FALSE)*C26)</f>
        <v>0</v>
      </c>
      <c r="M26" s="251">
        <f>IF('Purchase Order SCRAFT'!AC26="",0,VLOOKUP('Purchase Order SCRAFT'!AC26,hcPriceTab,2,FALSE)*C26)</f>
        <v>0</v>
      </c>
      <c r="N26" s="251" t="b">
        <f>IF(prefix="ss_",0,IF(LEFT('Purchase Order SCRAFT'!Q26,5)="Black",'Pricing and calculations'!C26*VLOOKUP('Purchase Order SCRAFT'!Q26,blackoutpricetab,4,FALSE)))</f>
        <v>0</v>
      </c>
      <c r="O26" s="251" t="b">
        <f>IF(OR('Purchase Order SCRAFT'!B26="",'Purchase Order SCRAFT'!C26="",'Purchase Order SCRAFT'!D26="",'Purchase Order SCRAFT'!E26="",'Purchase Order SCRAFT'!F26="",'Purchase Order SCRAFT'!G26="",'Purchase Order SCRAFT'!I26="",'Purchase Order SCRAFT'!J26="",'Purchase Order SCRAFT'!M26="",'Purchase Order SCRAFT'!O26="",'Purchase Order SCRAFT'!R26="",'Purchase Order SCRAFT'!V26="",'Purchase Order SCRAFT'!Y26="",'Purchase Order SCRAFT'!Z26="",'Purchase Order SCRAFT'!C50="",'Purchase Order SCRAFT'!AC26=""),FALSE,TRUE)</f>
        <v>0</v>
      </c>
      <c r="P26" s="251" t="e">
        <f>IF(AND(Form_Type&lt;&gt;"OP",Form_Type&lt;&gt;"EX"),IF(VLOOKUP('Purchase Order SCRAFT'!Q26,AdditionalFrameTab,2,FALSE)&gt;0,(D26+E26+G26+H26+I26+K26+L26+M26)*5%,0),0)</f>
        <v>#N/A</v>
      </c>
      <c r="Q26" s="244" t="str">
        <f>IF(C26=0,IF(LEFT('Purchase Order SCRAFT'!C26,3)="Top",G26*('Purchase Order SCRAFT'!F26/1000)*V26,""),IF(ISERR(D26+E26+F26+G26+H26+I26+J26+K26+L26+M26+N26+W94),"POA",SUM(D26:P26)+W94))</f>
        <v/>
      </c>
      <c r="R26" s="244" t="e">
        <f t="shared" si="3"/>
        <v>#VALUE!</v>
      </c>
      <c r="S26" s="675">
        <f t="shared" si="4"/>
        <v>0</v>
      </c>
      <c r="T26" s="425">
        <f t="shared" ca="1" si="0"/>
        <v>0</v>
      </c>
      <c r="U26" s="251" t="str">
        <f t="shared" si="1"/>
        <v/>
      </c>
      <c r="V26" s="252">
        <f>'Purchase Order SCRAFT'!D26</f>
        <v>0</v>
      </c>
      <c r="W26" s="253">
        <f t="shared" si="2"/>
        <v>0</v>
      </c>
    </row>
    <row r="27" spans="1:32" ht="15.75" thickBot="1" x14ac:dyDescent="0.25">
      <c r="D27" s="84"/>
      <c r="E27" s="333"/>
      <c r="F27" s="334"/>
      <c r="G27" s="442"/>
      <c r="H27" s="84" t="s">
        <v>123</v>
      </c>
      <c r="I27" s="258" t="b">
        <f t="array" ref="I27">OR(RIGHT('Purchase Order SCRAFT'!M7:M26,4)="RC S", RIGHT('Purchase Order SCRAFT'!M7:M26,4)="RC B")</f>
        <v>0</v>
      </c>
      <c r="J27" s="85">
        <f>'Purchase Order SCRAFT'!M27*RC_Handset_Cost</f>
        <v>0</v>
      </c>
      <c r="K27" s="329"/>
      <c r="L27" t="s">
        <v>258</v>
      </c>
      <c r="N27" s="132">
        <f>SUM(N7:N26)</f>
        <v>0</v>
      </c>
      <c r="O27">
        <f ca="1">DuluxColours*VLOOKUP(P27,colourpricetab,2,FALSE)</f>
        <v>0</v>
      </c>
      <c r="P27" t="s">
        <v>488</v>
      </c>
      <c r="Q27" s="424">
        <f ca="1">SwatchColours*VLOOKUP(R27,colourpricetab,2,FALSE)</f>
        <v>0</v>
      </c>
      <c r="R27" t="s">
        <v>490</v>
      </c>
      <c r="W27" s="330">
        <f ca="1">J27+K27+F27+O27+Q27</f>
        <v>0</v>
      </c>
    </row>
    <row r="28" spans="1:32" x14ac:dyDescent="0.2">
      <c r="G28" s="254"/>
      <c r="H28" s="34"/>
      <c r="I28" s="68"/>
      <c r="Q28" s="243"/>
    </row>
    <row r="29" spans="1:32" ht="15.75" thickBot="1" x14ac:dyDescent="0.25">
      <c r="A29" t="s">
        <v>249</v>
      </c>
      <c r="B29" s="67"/>
    </row>
    <row r="30" spans="1:32" ht="15.75" thickBot="1" x14ac:dyDescent="0.25">
      <c r="A30" s="10" t="s">
        <v>31</v>
      </c>
      <c r="B30" s="11" t="s">
        <v>0</v>
      </c>
      <c r="C30" s="175" t="s">
        <v>268</v>
      </c>
      <c r="D30" s="175" t="s">
        <v>269</v>
      </c>
      <c r="E30" s="175" t="s">
        <v>270</v>
      </c>
      <c r="F30" s="10" t="s">
        <v>118</v>
      </c>
      <c r="G30" s="577" t="s">
        <v>239</v>
      </c>
      <c r="H30" s="12" t="s">
        <v>42</v>
      </c>
      <c r="I30" s="13" t="s">
        <v>66</v>
      </c>
      <c r="J30" s="13" t="s">
        <v>73</v>
      </c>
      <c r="K30" s="13" t="s">
        <v>46</v>
      </c>
      <c r="L30" s="13" t="s">
        <v>45</v>
      </c>
      <c r="M30" s="14" t="s">
        <v>44</v>
      </c>
    </row>
    <row r="31" spans="1:32" ht="14.1" customHeight="1" x14ac:dyDescent="0.2">
      <c r="A31" s="255">
        <v>1</v>
      </c>
      <c r="B31" s="256" t="str">
        <f>B7</f>
        <v xml:space="preserve">Bed 2 </v>
      </c>
      <c r="C31" s="353" t="str">
        <f>IF('Purchase Order SCRAFT'!$O55="","",IF(OR(LEFT('Purchase Order SCRAFT'!$O55,6)="Custom",'Purchase Order SCRAFT'!O55="Build-out"),'Purchase Order SCRAFT'!P55,TRIM(LEFT('Purchase Order SCRAFT'!$O55,FIND("x",'Purchase Order SCRAFT'!O55)-1))))</f>
        <v>5</v>
      </c>
      <c r="D31" s="353" t="str">
        <f>IF('Purchase Order SCRAFT'!$O55="","",IF(LEFT('Purchase Order SCRAFT'!$O55,6)="Custom",'Purchase Order SCRAFT'!Q55,IF(RIGHT('Purchase Order SCRAFT'!$O55,5)="strip",MID('Purchase Order SCRAFT'!$O55,5,2),IF('Purchase Order SCRAFT'!O55="Build-out",1,RIGHT('Purchase Order SCRAFT'!$O55,LEN('Purchase Order SCRAFT'!O55)-FIND("x",'Purchase Order SCRAFT'!O55))))))</f>
        <v>25</v>
      </c>
      <c r="E31" s="353">
        <f>'Purchase Order SCRAFT'!R55</f>
        <v>2220</v>
      </c>
      <c r="F31" s="340">
        <f>IF('Purchase Order SCRAFT'!O55="",0,(VALUE(C31)*VALUE(D31)*VALUE(E31)*L31)/1000^3)</f>
        <v>2.7750000000000002E-4</v>
      </c>
      <c r="G31" s="578" t="b">
        <f>IF('Purchase Order SCRAFT'!O55="Custom Batten",TRUE)</f>
        <v>0</v>
      </c>
      <c r="H31" s="242">
        <f ca="1">IF('Purchase Order SCRAFT'!M55="","",IF(G31,IF(((F31/L31)/ROUNDUP(E31/1000,0))*VLOOKUP('Purchase Order SCRAFT'!O55,BattenPriceTab,2,FALSE)&lt;VLOOKUP("custom min",BattenPriceTab,2,FALSE),VLOOKUP("custom min",BattenPriceTab,2,FALSE)*ROUNDUP((E31*L31)/1000,0),F31*VLOOKUP('Purchase Order SCRAFT'!O55,BattenPriceTab,2,FALSE)),IF(E31&lt;1000,IF(D31=" 40",VLOOKUP("Minimum2",BattenPriceTab,2,FALSE),VLOOKUP("minimum",BattenPriceTab,2,FALSE)),(E31/1000)*VLOOKUP('Purchase Order SCRAFT'!O55,BattenPriceTab,2,FALSE))))</f>
        <v>8.3250000000000011</v>
      </c>
      <c r="I31" s="241"/>
      <c r="J31" s="242">
        <f t="shared" ref="J31:J50" ca="1" si="5">IF(F31&gt;0,H31+I31,0)</f>
        <v>8.3250000000000011</v>
      </c>
      <c r="K31" s="242">
        <f ca="1">IF(ISERR((J31*(1-$G$1))),0,(J31*(1-$G$1)))</f>
        <v>5.2031250000000009</v>
      </c>
      <c r="L31" s="245">
        <f>'Purchase Order SCRAFT'!S55</f>
        <v>1</v>
      </c>
      <c r="M31" s="246">
        <f ca="1">IF(ISERR(K31*L31),"POA",IF(G31,K31,K31*L31))</f>
        <v>5.2031250000000009</v>
      </c>
    </row>
    <row r="32" spans="1:32" ht="14.1" customHeight="1" x14ac:dyDescent="0.2">
      <c r="A32" s="63">
        <v>2</v>
      </c>
      <c r="B32" s="64" t="str">
        <f t="shared" ref="B32:B50" si="6">B8</f>
        <v>Bed1</v>
      </c>
      <c r="C32" s="351" t="str">
        <f>IF('Purchase Order SCRAFT'!$O56="","",IF(OR(LEFT('Purchase Order SCRAFT'!$O56,6)="Custom",'Purchase Order SCRAFT'!O56="Build-out"),'Purchase Order SCRAFT'!P56,TRIM(LEFT('Purchase Order SCRAFT'!$O56,FIND("x",'Purchase Order SCRAFT'!O56)-1))))</f>
        <v>5</v>
      </c>
      <c r="D32" s="351" t="str">
        <f>IF('Purchase Order SCRAFT'!$O56="","",IF(LEFT('Purchase Order SCRAFT'!$O56,6)="Custom",'Purchase Order SCRAFT'!Q56,IF(RIGHT('Purchase Order SCRAFT'!$O56,5)="strip",MID('Purchase Order SCRAFT'!$O56,5,2),IF('Purchase Order SCRAFT'!O56="Build-out",1,RIGHT('Purchase Order SCRAFT'!$O56,LEN('Purchase Order SCRAFT'!O56)-FIND("x",'Purchase Order SCRAFT'!O56))))))</f>
        <v>25</v>
      </c>
      <c r="E32" s="354">
        <f>'Purchase Order SCRAFT'!R56</f>
        <v>1400</v>
      </c>
      <c r="F32" s="341">
        <f>IF('Purchase Order SCRAFT'!O56="",0,(VALUE(C32)*VALUE(D32)*VALUE(E32)*L32)/1000^3)</f>
        <v>3.5E-4</v>
      </c>
      <c r="G32" s="579" t="b">
        <f>IF('Purchase Order SCRAFT'!O56="Custom Batten",TRUE)</f>
        <v>0</v>
      </c>
      <c r="H32" s="243">
        <f ca="1">IF('Purchase Order SCRAFT'!M56="","",IF(G32,IF(((F32/L32)/ROUNDUP(E32/1000,0))*VLOOKUP('Purchase Order SCRAFT'!O56,BattenPriceTab,2,FALSE)&lt;VLOOKUP("custom min",BattenPriceTab,2,FALSE),VLOOKUP("custom min",BattenPriceTab,2,FALSE)*ROUNDUP((E32*L32)/1000,0),F32*VLOOKUP('Purchase Order SCRAFT'!O56,BattenPriceTab,2,FALSE)),IF(E32&lt;1000,IF(D32=" 40",VLOOKUP("Minimum2",BattenPriceTab,2,FALSE),VLOOKUP("minimum",BattenPriceTab,2,FALSE)),(E32/1000)*VLOOKUP('Purchase Order SCRAFT'!O56,BattenPriceTab,2,FALSE))))</f>
        <v>5.25</v>
      </c>
      <c r="I32" s="247"/>
      <c r="J32" s="243">
        <f t="shared" ca="1" si="5"/>
        <v>5.25</v>
      </c>
      <c r="K32" s="243">
        <f t="shared" ref="K32:K50" ca="1" si="7">IF(ISERR((J32*(1-$G$1))),0,(J32*(1-$G$1)))</f>
        <v>3.28125</v>
      </c>
      <c r="L32" s="248">
        <f>'Purchase Order SCRAFT'!S56</f>
        <v>2</v>
      </c>
      <c r="M32" s="249">
        <f t="shared" ref="M32:M50" ca="1" si="8">IF(ISERR(K32*L32),"POA",IF(G32,K32,K32*L32))</f>
        <v>6.5625</v>
      </c>
    </row>
    <row r="33" spans="1:17" ht="14.1" customHeight="1" x14ac:dyDescent="0.2">
      <c r="A33" s="63">
        <v>3</v>
      </c>
      <c r="B33" s="64" t="str">
        <f t="shared" si="6"/>
        <v xml:space="preserve">Dressing Room </v>
      </c>
      <c r="C33" s="351" t="str">
        <f>IF('Purchase Order SCRAFT'!$O57="","",IF(OR(LEFT('Purchase Order SCRAFT'!$O57,6)="Custom",'Purchase Order SCRAFT'!O57="Build-out"),'Purchase Order SCRAFT'!P57,TRIM(LEFT('Purchase Order SCRAFT'!$O57,FIND("x",'Purchase Order SCRAFT'!O57)-1))))</f>
        <v>25</v>
      </c>
      <c r="D33" s="351" t="str">
        <f>IF('Purchase Order SCRAFT'!$O57="","",IF(LEFT('Purchase Order SCRAFT'!$O57,6)="Custom",'Purchase Order SCRAFT'!Q57,IF(RIGHT('Purchase Order SCRAFT'!$O57,5)="strip",MID('Purchase Order SCRAFT'!$O57,5,2),IF('Purchase Order SCRAFT'!O57="Build-out",1,RIGHT('Purchase Order SCRAFT'!$O57,LEN('Purchase Order SCRAFT'!O57)-FIND("x",'Purchase Order SCRAFT'!O57))))))</f>
        <v xml:space="preserve"> 30</v>
      </c>
      <c r="E33" s="354">
        <f>'Purchase Order SCRAFT'!R57</f>
        <v>2100</v>
      </c>
      <c r="F33" s="341">
        <f>IF('Purchase Order SCRAFT'!O57="",0,(VALUE(C33)*VALUE(D33)*VALUE(E33)*L33)/1000^3)</f>
        <v>1.575E-3</v>
      </c>
      <c r="G33" s="579" t="b">
        <f>IF('Purchase Order SCRAFT'!O57="Custom Batten",TRUE)</f>
        <v>0</v>
      </c>
      <c r="H33" s="243">
        <f ca="1">IF('Purchase Order SCRAFT'!M57="","",IF(G33,IF(((F33/L33)/ROUNDUP(E33/1000,0))*VLOOKUP('Purchase Order SCRAFT'!O57,BattenPriceTab,2,FALSE)&lt;VLOOKUP("custom min",BattenPriceTab,2,FALSE),VLOOKUP("custom min",BattenPriceTab,2,FALSE)*ROUNDUP((E33*L33)/1000,0),F33*VLOOKUP('Purchase Order SCRAFT'!O57,BattenPriceTab,2,FALSE)),IF(E33&lt;1000,IF(D33=" 40",VLOOKUP("Minimum2",BattenPriceTab,2,FALSE),VLOOKUP("minimum",BattenPriceTab,2,FALSE)),(E33/1000)*VLOOKUP('Purchase Order SCRAFT'!O57,BattenPriceTab,2,FALSE))))</f>
        <v>7.875</v>
      </c>
      <c r="I33" s="247"/>
      <c r="J33" s="243">
        <f t="shared" ca="1" si="5"/>
        <v>7.875</v>
      </c>
      <c r="K33" s="243">
        <f t="shared" ca="1" si="7"/>
        <v>4.921875</v>
      </c>
      <c r="L33" s="248">
        <f>'Purchase Order SCRAFT'!S57</f>
        <v>1</v>
      </c>
      <c r="M33" s="249">
        <f t="shared" ca="1" si="8"/>
        <v>4.921875</v>
      </c>
    </row>
    <row r="34" spans="1:17" ht="14.1" customHeight="1" x14ac:dyDescent="0.2">
      <c r="A34" s="63">
        <v>4</v>
      </c>
      <c r="B34" s="64" t="str">
        <f t="shared" si="6"/>
        <v xml:space="preserve">Front Door Panels </v>
      </c>
      <c r="C34" s="351" t="str">
        <f>IF('Purchase Order SCRAFT'!$O58="","",IF(OR(LEFT('Purchase Order SCRAFT'!$O58,6)="Custom",'Purchase Order SCRAFT'!O58="Build-out"),'Purchase Order SCRAFT'!P58,TRIM(LEFT('Purchase Order SCRAFT'!$O58,FIND("x",'Purchase Order SCRAFT'!O58)-1))))</f>
        <v/>
      </c>
      <c r="D34" s="351" t="str">
        <f>IF('Purchase Order SCRAFT'!$O58="","",IF(LEFT('Purchase Order SCRAFT'!$O58,6)="Custom",'Purchase Order SCRAFT'!Q58,IF(RIGHT('Purchase Order SCRAFT'!$O58,5)="strip",MID('Purchase Order SCRAFT'!$O58,5,2),IF('Purchase Order SCRAFT'!O58="Build-out",1,RIGHT('Purchase Order SCRAFT'!$O58,LEN('Purchase Order SCRAFT'!O58)-FIND("x",'Purchase Order SCRAFT'!O58))))))</f>
        <v/>
      </c>
      <c r="E34" s="354">
        <f>'Purchase Order SCRAFT'!R58</f>
        <v>0</v>
      </c>
      <c r="F34" s="341">
        <f>IF('Purchase Order SCRAFT'!O58="",0,(VALUE(C34)*VALUE(D34)*VALUE(E34)*L34)/1000^3)</f>
        <v>0</v>
      </c>
      <c r="G34" s="579" t="b">
        <f>IF('Purchase Order SCRAFT'!O58="Custom Batten",TRUE)</f>
        <v>0</v>
      </c>
      <c r="H34" s="243" t="str">
        <f>IF('Purchase Order SCRAFT'!M58="","",IF(G34,IF(((F34/L34)/ROUNDUP(E34/1000,0))*VLOOKUP('Purchase Order SCRAFT'!O58,BattenPriceTab,2,FALSE)&lt;VLOOKUP("custom min",BattenPriceTab,2,FALSE),VLOOKUP("custom min",BattenPriceTab,2,FALSE)*ROUNDUP((E34*L34)/1000,0),F34*VLOOKUP('Purchase Order SCRAFT'!O58,BattenPriceTab,2,FALSE)),IF(E34&lt;1000,IF(D34=" 40",VLOOKUP("Minimum2",BattenPriceTab,2,FALSE),VLOOKUP("minimum",BattenPriceTab,2,FALSE)),(E34/1000)*VLOOKUP('Purchase Order SCRAFT'!O58,BattenPriceTab,2,FALSE))))</f>
        <v/>
      </c>
      <c r="I34" s="247"/>
      <c r="J34" s="243">
        <f t="shared" si="5"/>
        <v>0</v>
      </c>
      <c r="K34" s="243">
        <f t="shared" si="7"/>
        <v>0</v>
      </c>
      <c r="L34" s="248">
        <f>'Purchase Order SCRAFT'!S58</f>
        <v>0</v>
      </c>
      <c r="M34" s="249">
        <f t="shared" si="8"/>
        <v>0</v>
      </c>
    </row>
    <row r="35" spans="1:17" ht="14.1" customHeight="1" x14ac:dyDescent="0.2">
      <c r="A35" s="63">
        <v>5</v>
      </c>
      <c r="B35" s="64" t="str">
        <f t="shared" si="6"/>
        <v xml:space="preserve">Front Door Panels </v>
      </c>
      <c r="C35" s="351" t="str">
        <f>IF('Purchase Order SCRAFT'!$O59="","",IF(OR(LEFT('Purchase Order SCRAFT'!$O59,6)="Custom",'Purchase Order SCRAFT'!O59="Build-out"),'Purchase Order SCRAFT'!P59,TRIM(LEFT('Purchase Order SCRAFT'!$O59,FIND("x",'Purchase Order SCRAFT'!O59)-1))))</f>
        <v/>
      </c>
      <c r="D35" s="351" t="str">
        <f>IF('Purchase Order SCRAFT'!$O59="","",IF(LEFT('Purchase Order SCRAFT'!$O59,6)="Custom",'Purchase Order SCRAFT'!Q59,IF(RIGHT('Purchase Order SCRAFT'!$O59,5)="strip",MID('Purchase Order SCRAFT'!$O59,5,2),IF('Purchase Order SCRAFT'!O59="Build-out",1,RIGHT('Purchase Order SCRAFT'!$O59,LEN('Purchase Order SCRAFT'!O59)-FIND("x",'Purchase Order SCRAFT'!O59))))))</f>
        <v/>
      </c>
      <c r="E35" s="354">
        <f>'Purchase Order SCRAFT'!R59</f>
        <v>0</v>
      </c>
      <c r="F35" s="341">
        <f>IF('Purchase Order SCRAFT'!O59="",0,(VALUE(C35)*VALUE(D35)*VALUE(E35)*L35)/1000^3)</f>
        <v>0</v>
      </c>
      <c r="G35" s="579" t="b">
        <f>IF('Purchase Order SCRAFT'!O59="Custom Batten",TRUE)</f>
        <v>0</v>
      </c>
      <c r="H35" s="243" t="str">
        <f>IF('Purchase Order SCRAFT'!M59="","",IF(G35,IF(((F35/L35)/ROUNDUP(E35/1000,0))*VLOOKUP('Purchase Order SCRAFT'!O59,BattenPriceTab,2,FALSE)&lt;VLOOKUP("custom min",BattenPriceTab,2,FALSE),VLOOKUP("custom min",BattenPriceTab,2,FALSE)*ROUNDUP((E35*L35)/1000,0),F35*VLOOKUP('Purchase Order SCRAFT'!O59,BattenPriceTab,2,FALSE)),IF(E35&lt;1000,IF(D35=" 40",VLOOKUP("Minimum2",BattenPriceTab,2,FALSE),VLOOKUP("minimum",BattenPriceTab,2,FALSE)),(E35/1000)*VLOOKUP('Purchase Order SCRAFT'!O59,BattenPriceTab,2,FALSE))))</f>
        <v/>
      </c>
      <c r="I35" s="247"/>
      <c r="J35" s="243">
        <f t="shared" si="5"/>
        <v>0</v>
      </c>
      <c r="K35" s="243">
        <f t="shared" si="7"/>
        <v>0</v>
      </c>
      <c r="L35" s="248">
        <f>'Purchase Order SCRAFT'!S59</f>
        <v>0</v>
      </c>
      <c r="M35" s="249">
        <f t="shared" si="8"/>
        <v>0</v>
      </c>
      <c r="O35" t="s">
        <v>137</v>
      </c>
      <c r="Q35" s="171" t="str">
        <f>'Purchase Order SCRAFT'!C1</f>
        <v>Cuba</v>
      </c>
    </row>
    <row r="36" spans="1:17" ht="14.1" customHeight="1" x14ac:dyDescent="0.2">
      <c r="A36" s="63">
        <v>6</v>
      </c>
      <c r="B36" s="64" t="str">
        <f t="shared" si="6"/>
        <v>Study</v>
      </c>
      <c r="C36" s="351" t="str">
        <f>IF('Purchase Order SCRAFT'!$O60="","",IF(OR(LEFT('Purchase Order SCRAFT'!$O60,6)="Custom",'Purchase Order SCRAFT'!O60="Build-out"),'Purchase Order SCRAFT'!P60,TRIM(LEFT('Purchase Order SCRAFT'!$O60,FIND("x",'Purchase Order SCRAFT'!O60)-1))))</f>
        <v/>
      </c>
      <c r="D36" s="351" t="str">
        <f>IF('Purchase Order SCRAFT'!$O60="","",IF(LEFT('Purchase Order SCRAFT'!$O60,6)="Custom",'Purchase Order SCRAFT'!Q60,IF(RIGHT('Purchase Order SCRAFT'!$O60,5)="strip",MID('Purchase Order SCRAFT'!$O60,5,2),IF('Purchase Order SCRAFT'!O60="Build-out",1,RIGHT('Purchase Order SCRAFT'!$O60,LEN('Purchase Order SCRAFT'!O60)-FIND("x",'Purchase Order SCRAFT'!O60))))))</f>
        <v/>
      </c>
      <c r="E36" s="354">
        <f>'Purchase Order SCRAFT'!R60</f>
        <v>0</v>
      </c>
      <c r="F36" s="341">
        <f>IF('Purchase Order SCRAFT'!O60="",0,(VALUE(C36)*VALUE(D36)*VALUE(E36)*L36)/1000^3)</f>
        <v>0</v>
      </c>
      <c r="G36" s="579" t="b">
        <f>IF('Purchase Order SCRAFT'!O60="Custom Batten",TRUE)</f>
        <v>0</v>
      </c>
      <c r="H36" s="243" t="str">
        <f>IF('Purchase Order SCRAFT'!M60="","",IF(G36,IF(((F36/L36)/ROUNDUP(E36/1000,0))*VLOOKUP('Purchase Order SCRAFT'!O60,BattenPriceTab,2,FALSE)&lt;VLOOKUP("custom min",BattenPriceTab,2,FALSE),VLOOKUP("custom min",BattenPriceTab,2,FALSE)*ROUNDUP((E36*L36)/1000,0),F36*VLOOKUP('Purchase Order SCRAFT'!O60,BattenPriceTab,2,FALSE)),IF(E36&lt;1000,IF(D36=" 40",VLOOKUP("Minimum2",BattenPriceTab,2,FALSE),VLOOKUP("minimum",BattenPriceTab,2,FALSE)),(E36/1000)*VLOOKUP('Purchase Order SCRAFT'!O60,BattenPriceTab,2,FALSE))))</f>
        <v/>
      </c>
      <c r="I36" s="247"/>
      <c r="J36" s="243">
        <f t="shared" si="5"/>
        <v>0</v>
      </c>
      <c r="K36" s="243">
        <f t="shared" si="7"/>
        <v>0</v>
      </c>
      <c r="L36" s="248">
        <f>'Purchase Order SCRAFT'!S60</f>
        <v>0</v>
      </c>
      <c r="M36" s="249">
        <f t="shared" si="8"/>
        <v>0</v>
      </c>
      <c r="O36" t="s">
        <v>138</v>
      </c>
      <c r="Q36" s="176" t="str">
        <f>VLOOKUP('Purchase Order SCRAFT'!$C$3,Form_type_tab,2,FALSE)</f>
        <v>OD</v>
      </c>
    </row>
    <row r="37" spans="1:17" ht="14.1" customHeight="1" x14ac:dyDescent="0.2">
      <c r="A37" s="63">
        <v>7</v>
      </c>
      <c r="B37" s="64" t="str">
        <f t="shared" si="6"/>
        <v>Study</v>
      </c>
      <c r="C37" s="351" t="str">
        <f>IF('Purchase Order SCRAFT'!$O61="","",IF(OR(LEFT('Purchase Order SCRAFT'!$O61,6)="Custom",'Purchase Order SCRAFT'!O61="Build-out"),'Purchase Order SCRAFT'!P61,TRIM(LEFT('Purchase Order SCRAFT'!$O61,FIND("x",'Purchase Order SCRAFT'!O61)-1))))</f>
        <v/>
      </c>
      <c r="D37" s="351" t="str">
        <f>IF('Purchase Order SCRAFT'!$O61="","",IF(LEFT('Purchase Order SCRAFT'!$O61,6)="Custom",'Purchase Order SCRAFT'!Q61,IF(RIGHT('Purchase Order SCRAFT'!$O61,5)="strip",MID('Purchase Order SCRAFT'!$O61,5,2),IF('Purchase Order SCRAFT'!O61="Build-out",1,RIGHT('Purchase Order SCRAFT'!$O61,LEN('Purchase Order SCRAFT'!O61)-FIND("x",'Purchase Order SCRAFT'!O61))))))</f>
        <v/>
      </c>
      <c r="E37" s="354">
        <f>'Purchase Order SCRAFT'!R61</f>
        <v>0</v>
      </c>
      <c r="F37" s="341">
        <f>IF('Purchase Order SCRAFT'!O61="",0,(VALUE(C37)*VALUE(D37)*VALUE(E37)*L37)/1000^3)</f>
        <v>0</v>
      </c>
      <c r="G37" s="579" t="b">
        <f>IF('Purchase Order SCRAFT'!O61="Custom Batten",TRUE)</f>
        <v>0</v>
      </c>
      <c r="H37" s="243" t="str">
        <f>IF('Purchase Order SCRAFT'!M61="","",IF(G37,IF(((F37/L37)/ROUNDUP(E37/1000,0))*VLOOKUP('Purchase Order SCRAFT'!O61,BattenPriceTab,2,FALSE)&lt;VLOOKUP("custom min",BattenPriceTab,2,FALSE),VLOOKUP("custom min",BattenPriceTab,2,FALSE)*ROUNDUP((E37*L37)/1000,0),F37*VLOOKUP('Purchase Order SCRAFT'!O61,BattenPriceTab,2,FALSE)),IF(E37&lt;1000,IF(D37=" 40",VLOOKUP("Minimum2",BattenPriceTab,2,FALSE),VLOOKUP("minimum",BattenPriceTab,2,FALSE)),(E37/1000)*VLOOKUP('Purchase Order SCRAFT'!O61,BattenPriceTab,2,FALSE))))</f>
        <v/>
      </c>
      <c r="I37" s="247"/>
      <c r="J37" s="243">
        <f t="shared" si="5"/>
        <v>0</v>
      </c>
      <c r="K37" s="243">
        <f t="shared" si="7"/>
        <v>0</v>
      </c>
      <c r="L37" s="248">
        <f>'Purchase Order SCRAFT'!S61</f>
        <v>0</v>
      </c>
      <c r="M37" s="249">
        <f t="shared" si="8"/>
        <v>0</v>
      </c>
    </row>
    <row r="38" spans="1:17" ht="14.1" customHeight="1" x14ac:dyDescent="0.2">
      <c r="A38" s="63">
        <v>8</v>
      </c>
      <c r="B38" s="64" t="str">
        <f t="shared" si="6"/>
        <v xml:space="preserve">Living Room </v>
      </c>
      <c r="C38" s="351" t="str">
        <f>IF('Purchase Order SCRAFT'!$O62="","",IF(OR(LEFT('Purchase Order SCRAFT'!$O62,6)="Custom",'Purchase Order SCRAFT'!O62="Build-out"),'Purchase Order SCRAFT'!P62,TRIM(LEFT('Purchase Order SCRAFT'!$O62,FIND("x",'Purchase Order SCRAFT'!O62)-1))))</f>
        <v/>
      </c>
      <c r="D38" s="351" t="str">
        <f>IF('Purchase Order SCRAFT'!$O62="","",IF(LEFT('Purchase Order SCRAFT'!$O62,6)="Custom",'Purchase Order SCRAFT'!Q62,IF(RIGHT('Purchase Order SCRAFT'!$O62,5)="strip",MID('Purchase Order SCRAFT'!$O62,5,2),IF('Purchase Order SCRAFT'!O62="Build-out",1,RIGHT('Purchase Order SCRAFT'!$O62,LEN('Purchase Order SCRAFT'!O62)-FIND("x",'Purchase Order SCRAFT'!O62))))))</f>
        <v/>
      </c>
      <c r="E38" s="354">
        <f>'Purchase Order SCRAFT'!R62</f>
        <v>0</v>
      </c>
      <c r="F38" s="341">
        <f>IF('Purchase Order SCRAFT'!O62="",0,(VALUE(C38)*VALUE(D38)*VALUE(E38)*L38)/1000^3)</f>
        <v>0</v>
      </c>
      <c r="G38" s="579" t="b">
        <f>IF('Purchase Order SCRAFT'!O62="Custom Batten",TRUE)</f>
        <v>0</v>
      </c>
      <c r="H38" s="243" t="str">
        <f>IF('Purchase Order SCRAFT'!M62="","",IF(G38,IF(((F38/L38)/ROUNDUP(E38/1000,0))*VLOOKUP('Purchase Order SCRAFT'!O62,BattenPriceTab,2,FALSE)&lt;VLOOKUP("custom min",BattenPriceTab,2,FALSE),VLOOKUP("custom min",BattenPriceTab,2,FALSE)*ROUNDUP((E38*L38)/1000,0),F38*VLOOKUP('Purchase Order SCRAFT'!O62,BattenPriceTab,2,FALSE)),IF(E38&lt;1000,IF(D38=" 40",VLOOKUP("Minimum2",BattenPriceTab,2,FALSE),VLOOKUP("minimum",BattenPriceTab,2,FALSE)),(E38/1000)*VLOOKUP('Purchase Order SCRAFT'!O62,BattenPriceTab,2,FALSE))))</f>
        <v/>
      </c>
      <c r="I38" s="247"/>
      <c r="J38" s="243">
        <f t="shared" si="5"/>
        <v>0</v>
      </c>
      <c r="K38" s="243">
        <f t="shared" si="7"/>
        <v>0</v>
      </c>
      <c r="L38" s="248">
        <f>'Purchase Order SCRAFT'!S62</f>
        <v>0</v>
      </c>
      <c r="M38" s="249">
        <f t="shared" si="8"/>
        <v>0</v>
      </c>
      <c r="O38" t="s">
        <v>154</v>
      </c>
      <c r="Q38" t="str">
        <f>VLOOKUP(wood_type,Wood_type_tab,2,FALSE)</f>
        <v>co_</v>
      </c>
    </row>
    <row r="39" spans="1:17" ht="14.1" customHeight="1" x14ac:dyDescent="0.2">
      <c r="A39" s="63">
        <v>9</v>
      </c>
      <c r="B39" s="64" t="str">
        <f t="shared" si="6"/>
        <v>Utility</v>
      </c>
      <c r="C39" s="351" t="str">
        <f>IF('Purchase Order SCRAFT'!$O63="","",IF(OR(LEFT('Purchase Order SCRAFT'!$O63,6)="Custom",'Purchase Order SCRAFT'!O63="Build-out"),'Purchase Order SCRAFT'!P63,TRIM(LEFT('Purchase Order SCRAFT'!$O63,FIND("x",'Purchase Order SCRAFT'!O63)-1))))</f>
        <v/>
      </c>
      <c r="D39" s="351" t="str">
        <f>IF('Purchase Order SCRAFT'!$O63="","",IF(LEFT('Purchase Order SCRAFT'!$O63,6)="Custom",'Purchase Order SCRAFT'!Q63,IF(RIGHT('Purchase Order SCRAFT'!$O63,5)="strip",MID('Purchase Order SCRAFT'!$O63,5,2),IF('Purchase Order SCRAFT'!O63="Build-out",1,RIGHT('Purchase Order SCRAFT'!$O63,LEN('Purchase Order SCRAFT'!O63)-FIND("x",'Purchase Order SCRAFT'!O63))))))</f>
        <v/>
      </c>
      <c r="E39" s="354">
        <f>'Purchase Order SCRAFT'!R63</f>
        <v>0</v>
      </c>
      <c r="F39" s="341">
        <f>IF('Purchase Order SCRAFT'!O63="",0,(VALUE(C39)*VALUE(D39)*VALUE(E39)*L39)/1000^3)</f>
        <v>0</v>
      </c>
      <c r="G39" s="579" t="b">
        <f>IF('Purchase Order SCRAFT'!O63="Custom Batten",TRUE)</f>
        <v>0</v>
      </c>
      <c r="H39" s="243" t="str">
        <f>IF('Purchase Order SCRAFT'!M63="","",IF(G39,IF(((F39/L39)/ROUNDUP(E39/1000,0))*VLOOKUP('Purchase Order SCRAFT'!O63,BattenPriceTab,2,FALSE)&lt;VLOOKUP("custom min",BattenPriceTab,2,FALSE),VLOOKUP("custom min",BattenPriceTab,2,FALSE)*ROUNDUP((E39*L39)/1000,0),F39*VLOOKUP('Purchase Order SCRAFT'!O63,BattenPriceTab,2,FALSE)),IF(E39&lt;1000,IF(D39=" 40",VLOOKUP("Minimum2",BattenPriceTab,2,FALSE),VLOOKUP("minimum",BattenPriceTab,2,FALSE)),(E39/1000)*VLOOKUP('Purchase Order SCRAFT'!O63,BattenPriceTab,2,FALSE))))</f>
        <v/>
      </c>
      <c r="I39" s="247"/>
      <c r="J39" s="243">
        <f t="shared" si="5"/>
        <v>0</v>
      </c>
      <c r="K39" s="243">
        <f t="shared" si="7"/>
        <v>0</v>
      </c>
      <c r="L39" s="248">
        <f>'Purchase Order SCRAFT'!S63</f>
        <v>0</v>
      </c>
      <c r="M39" s="249">
        <f t="shared" si="8"/>
        <v>0</v>
      </c>
    </row>
    <row r="40" spans="1:17" ht="14.1" customHeight="1" x14ac:dyDescent="0.2">
      <c r="A40" s="63">
        <v>10</v>
      </c>
      <c r="B40" s="64" t="str">
        <f t="shared" si="6"/>
        <v xml:space="preserve"> </v>
      </c>
      <c r="C40" s="351" t="str">
        <f>IF('Purchase Order SCRAFT'!$O64="","",IF(OR(LEFT('Purchase Order SCRAFT'!$O64,6)="Custom",'Purchase Order SCRAFT'!O64="Build-out"),'Purchase Order SCRAFT'!P64,TRIM(LEFT('Purchase Order SCRAFT'!$O64,FIND("x",'Purchase Order SCRAFT'!O64)-1))))</f>
        <v/>
      </c>
      <c r="D40" s="351" t="str">
        <f>IF('Purchase Order SCRAFT'!$O64="","",IF(LEFT('Purchase Order SCRAFT'!$O64,6)="Custom",'Purchase Order SCRAFT'!Q64,IF(RIGHT('Purchase Order SCRAFT'!$O64,5)="strip",MID('Purchase Order SCRAFT'!$O64,5,2),IF('Purchase Order SCRAFT'!O64="Build-out",1,RIGHT('Purchase Order SCRAFT'!$O64,LEN('Purchase Order SCRAFT'!O64)-FIND("x",'Purchase Order SCRAFT'!O64))))))</f>
        <v/>
      </c>
      <c r="E40" s="354">
        <f>'Purchase Order SCRAFT'!R64</f>
        <v>0</v>
      </c>
      <c r="F40" s="341">
        <f>IF('Purchase Order SCRAFT'!O64="",0,(VALUE(C40)*VALUE(D40)*VALUE(E40)*L40)/1000^3)</f>
        <v>0</v>
      </c>
      <c r="G40" s="579" t="b">
        <f>IF('Purchase Order SCRAFT'!O64="Custom Batten",TRUE)</f>
        <v>0</v>
      </c>
      <c r="H40" s="243" t="str">
        <f>IF('Purchase Order SCRAFT'!M64="","",IF(G40,IF(((F40/L40)/ROUNDUP(E40/1000,0))*VLOOKUP('Purchase Order SCRAFT'!O64,BattenPriceTab,2,FALSE)&lt;VLOOKUP("custom min",BattenPriceTab,2,FALSE),VLOOKUP("custom min",BattenPriceTab,2,FALSE)*ROUNDUP((E40*L40)/1000,0),F40*VLOOKUP('Purchase Order SCRAFT'!O64,BattenPriceTab,2,FALSE)),IF(E40&lt;1000,IF(D40=" 40",VLOOKUP("Minimum2",BattenPriceTab,2,FALSE),VLOOKUP("minimum",BattenPriceTab,2,FALSE)),(E40/1000)*VLOOKUP('Purchase Order SCRAFT'!O64,BattenPriceTab,2,FALSE))))</f>
        <v/>
      </c>
      <c r="I40" s="247"/>
      <c r="J40" s="243">
        <f t="shared" si="5"/>
        <v>0</v>
      </c>
      <c r="K40" s="243">
        <f t="shared" si="7"/>
        <v>0</v>
      </c>
      <c r="L40" s="248">
        <f>'Purchase Order SCRAFT'!S64</f>
        <v>0</v>
      </c>
      <c r="M40" s="249">
        <f t="shared" si="8"/>
        <v>0</v>
      </c>
    </row>
    <row r="41" spans="1:17" ht="14.1" customHeight="1" x14ac:dyDescent="0.2">
      <c r="A41" s="63">
        <v>11</v>
      </c>
      <c r="B41" s="64" t="str">
        <f t="shared" si="6"/>
        <v xml:space="preserve"> </v>
      </c>
      <c r="C41" s="351" t="str">
        <f>IF('Purchase Order SCRAFT'!$O65="","",IF(OR(LEFT('Purchase Order SCRAFT'!$O65,6)="Custom",'Purchase Order SCRAFT'!O65="Build-out"),'Purchase Order SCRAFT'!P65,TRIM(LEFT('Purchase Order SCRAFT'!$O65,FIND("x",'Purchase Order SCRAFT'!O65)-1))))</f>
        <v/>
      </c>
      <c r="D41" s="351" t="str">
        <f>IF('Purchase Order SCRAFT'!$O65="","",IF(LEFT('Purchase Order SCRAFT'!$O65,6)="Custom",'Purchase Order SCRAFT'!Q65,IF(RIGHT('Purchase Order SCRAFT'!$O65,5)="strip",MID('Purchase Order SCRAFT'!$O65,5,2),IF('Purchase Order SCRAFT'!O65="Build-out",1,RIGHT('Purchase Order SCRAFT'!$O65,LEN('Purchase Order SCRAFT'!O65)-FIND("x",'Purchase Order SCRAFT'!O65))))))</f>
        <v/>
      </c>
      <c r="E41" s="354">
        <f>'Purchase Order SCRAFT'!R65</f>
        <v>0</v>
      </c>
      <c r="F41" s="341">
        <f>IF('Purchase Order SCRAFT'!O65="",0,(VALUE(C41)*VALUE(D41)*VALUE(E41)*L41)/1000^3)</f>
        <v>0</v>
      </c>
      <c r="G41" s="579" t="b">
        <f>IF('Purchase Order SCRAFT'!O65="Custom Batten",TRUE)</f>
        <v>0</v>
      </c>
      <c r="H41" s="243" t="str">
        <f>IF('Purchase Order SCRAFT'!M65="","",IF(G41,IF(((F41/L41)/ROUNDUP(E41/1000,0))*VLOOKUP('Purchase Order SCRAFT'!O65,BattenPriceTab,2,FALSE)&lt;VLOOKUP("custom min",BattenPriceTab,2,FALSE),VLOOKUP("custom min",BattenPriceTab,2,FALSE)*ROUNDUP((E41*L41)/1000,0),F41*VLOOKUP('Purchase Order SCRAFT'!O65,BattenPriceTab,2,FALSE)),IF(E41&lt;1000,IF(D41=" 40",VLOOKUP("Minimum2",BattenPriceTab,2,FALSE),VLOOKUP("minimum",BattenPriceTab,2,FALSE)),(E41/1000)*VLOOKUP('Purchase Order SCRAFT'!O65,BattenPriceTab,2,FALSE))))</f>
        <v/>
      </c>
      <c r="I41" s="247"/>
      <c r="J41" s="243">
        <f t="shared" si="5"/>
        <v>0</v>
      </c>
      <c r="K41" s="243">
        <f t="shared" si="7"/>
        <v>0</v>
      </c>
      <c r="L41" s="248">
        <f>'Purchase Order SCRAFT'!S65</f>
        <v>0</v>
      </c>
      <c r="M41" s="249">
        <f t="shared" si="8"/>
        <v>0</v>
      </c>
    </row>
    <row r="42" spans="1:17" ht="14.1" customHeight="1" x14ac:dyDescent="0.2">
      <c r="A42" s="63">
        <v>12</v>
      </c>
      <c r="B42" s="64" t="str">
        <f t="shared" si="6"/>
        <v xml:space="preserve"> </v>
      </c>
      <c r="C42" s="351" t="str">
        <f>IF('Purchase Order SCRAFT'!$O66="","",IF(OR(LEFT('Purchase Order SCRAFT'!$O66,6)="Custom",'Purchase Order SCRAFT'!O66="Build-out"),'Purchase Order SCRAFT'!P66,TRIM(LEFT('Purchase Order SCRAFT'!$O66,FIND("x",'Purchase Order SCRAFT'!O66)-1))))</f>
        <v/>
      </c>
      <c r="D42" s="351" t="str">
        <f>IF('Purchase Order SCRAFT'!$O66="","",IF(LEFT('Purchase Order SCRAFT'!$O66,6)="Custom",'Purchase Order SCRAFT'!Q66,IF(RIGHT('Purchase Order SCRAFT'!$O66,5)="strip",MID('Purchase Order SCRAFT'!$O66,5,2),IF('Purchase Order SCRAFT'!O66="Build-out",1,RIGHT('Purchase Order SCRAFT'!$O66,LEN('Purchase Order SCRAFT'!O66)-FIND("x",'Purchase Order SCRAFT'!O66))))))</f>
        <v/>
      </c>
      <c r="E42" s="354">
        <f>'Purchase Order SCRAFT'!R66</f>
        <v>0</v>
      </c>
      <c r="F42" s="341">
        <f>IF('Purchase Order SCRAFT'!O66="",0,(VALUE(C42)*VALUE(D42)*VALUE(E42)*L42)/1000^3)</f>
        <v>0</v>
      </c>
      <c r="G42" s="579" t="b">
        <f>IF('Purchase Order SCRAFT'!O66="Custom Batten",TRUE)</f>
        <v>0</v>
      </c>
      <c r="H42" s="243" t="str">
        <f>IF('Purchase Order SCRAFT'!M66="","",IF(G42,IF(((F42/L42)/ROUNDUP(E42/1000,0))*VLOOKUP('Purchase Order SCRAFT'!O66,BattenPriceTab,2,FALSE)&lt;VLOOKUP("custom min",BattenPriceTab,2,FALSE),VLOOKUP("custom min",BattenPriceTab,2,FALSE)*ROUNDUP((E42*L42)/1000,0),F42*VLOOKUP('Purchase Order SCRAFT'!O66,BattenPriceTab,2,FALSE)),IF(E42&lt;1000,IF(D42=" 40",VLOOKUP("Minimum2",BattenPriceTab,2,FALSE),VLOOKUP("minimum",BattenPriceTab,2,FALSE)),(E42/1000)*VLOOKUP('Purchase Order SCRAFT'!O66,BattenPriceTab,2,FALSE))))</f>
        <v/>
      </c>
      <c r="I42" s="247"/>
      <c r="J42" s="243">
        <f t="shared" si="5"/>
        <v>0</v>
      </c>
      <c r="K42" s="243">
        <f t="shared" si="7"/>
        <v>0</v>
      </c>
      <c r="L42" s="248">
        <f>'Purchase Order SCRAFT'!S66</f>
        <v>0</v>
      </c>
      <c r="M42" s="249">
        <f t="shared" si="8"/>
        <v>0</v>
      </c>
    </row>
    <row r="43" spans="1:17" ht="14.1" customHeight="1" x14ac:dyDescent="0.2">
      <c r="A43" s="63">
        <v>13</v>
      </c>
      <c r="B43" s="64" t="str">
        <f t="shared" si="6"/>
        <v xml:space="preserve"> </v>
      </c>
      <c r="C43" s="351" t="str">
        <f>IF('Purchase Order SCRAFT'!$O67="","",IF(OR(LEFT('Purchase Order SCRAFT'!$O67,6)="Custom",'Purchase Order SCRAFT'!O67="Build-out"),'Purchase Order SCRAFT'!P67,TRIM(LEFT('Purchase Order SCRAFT'!$O67,FIND("x",'Purchase Order SCRAFT'!O67)-1))))</f>
        <v/>
      </c>
      <c r="D43" s="351" t="str">
        <f>IF('Purchase Order SCRAFT'!$O67="","",IF(LEFT('Purchase Order SCRAFT'!$O67,6)="Custom",'Purchase Order SCRAFT'!Q67,IF(RIGHT('Purchase Order SCRAFT'!$O67,5)="strip",MID('Purchase Order SCRAFT'!$O67,5,2),IF('Purchase Order SCRAFT'!O67="Build-out",1,RIGHT('Purchase Order SCRAFT'!$O67,LEN('Purchase Order SCRAFT'!O67)-FIND("x",'Purchase Order SCRAFT'!O67))))))</f>
        <v/>
      </c>
      <c r="E43" s="354">
        <f>'Purchase Order SCRAFT'!R67</f>
        <v>0</v>
      </c>
      <c r="F43" s="341">
        <f>IF('Purchase Order SCRAFT'!O67="",0,(VALUE(C43)*VALUE(D43)*VALUE(E43)*L43)/1000^3)</f>
        <v>0</v>
      </c>
      <c r="G43" s="579" t="b">
        <f>IF('Purchase Order SCRAFT'!O67="Custom Batten",TRUE)</f>
        <v>0</v>
      </c>
      <c r="H43" s="243" t="str">
        <f>IF('Purchase Order SCRAFT'!M67="","",IF(G43,IF(((F43/L43)/ROUNDUP(E43/1000,0))*VLOOKUP('Purchase Order SCRAFT'!O67,BattenPriceTab,2,FALSE)&lt;VLOOKUP("custom min",BattenPriceTab,2,FALSE),VLOOKUP("custom min",BattenPriceTab,2,FALSE)*ROUNDUP((E43*L43)/1000,0),F43*VLOOKUP('Purchase Order SCRAFT'!O67,BattenPriceTab,2,FALSE)),IF(E43&lt;1000,IF(D43=" 40",VLOOKUP("Minimum2",BattenPriceTab,2,FALSE),VLOOKUP("minimum",BattenPriceTab,2,FALSE)),(E43/1000)*VLOOKUP('Purchase Order SCRAFT'!O67,BattenPriceTab,2,FALSE))))</f>
        <v/>
      </c>
      <c r="I43" s="247"/>
      <c r="J43" s="243">
        <f t="shared" si="5"/>
        <v>0</v>
      </c>
      <c r="K43" s="243">
        <f t="shared" si="7"/>
        <v>0</v>
      </c>
      <c r="L43" s="248">
        <f>'Purchase Order SCRAFT'!S67</f>
        <v>0</v>
      </c>
      <c r="M43" s="249">
        <f t="shared" si="8"/>
        <v>0</v>
      </c>
    </row>
    <row r="44" spans="1:17" ht="14.1" customHeight="1" x14ac:dyDescent="0.2">
      <c r="A44" s="63">
        <v>14</v>
      </c>
      <c r="B44" s="64" t="str">
        <f t="shared" si="6"/>
        <v xml:space="preserve"> </v>
      </c>
      <c r="C44" s="351" t="str">
        <f>IF('Purchase Order SCRAFT'!$O68="","",IF(OR(LEFT('Purchase Order SCRAFT'!$O68,6)="Custom",'Purchase Order SCRAFT'!O68="Build-out"),'Purchase Order SCRAFT'!P68,TRIM(LEFT('Purchase Order SCRAFT'!$O68,FIND("x",'Purchase Order SCRAFT'!O68)-1))))</f>
        <v/>
      </c>
      <c r="D44" s="351" t="str">
        <f>IF('Purchase Order SCRAFT'!$O68="","",IF(LEFT('Purchase Order SCRAFT'!$O68,6)="Custom",'Purchase Order SCRAFT'!Q68,IF(RIGHT('Purchase Order SCRAFT'!$O68,5)="strip",MID('Purchase Order SCRAFT'!$O68,5,2),IF('Purchase Order SCRAFT'!O68="Build-out",1,RIGHT('Purchase Order SCRAFT'!$O68,LEN('Purchase Order SCRAFT'!O68)-FIND("x",'Purchase Order SCRAFT'!O68))))))</f>
        <v/>
      </c>
      <c r="E44" s="354">
        <f>'Purchase Order SCRAFT'!R68</f>
        <v>0</v>
      </c>
      <c r="F44" s="341">
        <f>IF('Purchase Order SCRAFT'!O68="",0,(VALUE(C44)*VALUE(D44)*VALUE(E44)*L44)/1000^3)</f>
        <v>0</v>
      </c>
      <c r="G44" s="579" t="b">
        <f>IF('Purchase Order SCRAFT'!O68="Custom Batten",TRUE)</f>
        <v>0</v>
      </c>
      <c r="H44" s="243" t="str">
        <f>IF('Purchase Order SCRAFT'!M68="","",IF(G44,IF(((F44/L44)/ROUNDUP(E44/1000,0))*VLOOKUP('Purchase Order SCRAFT'!O68,BattenPriceTab,2,FALSE)&lt;VLOOKUP("custom min",BattenPriceTab,2,FALSE),VLOOKUP("custom min",BattenPriceTab,2,FALSE)*ROUNDUP((E44*L44)/1000,0),F44*VLOOKUP('Purchase Order SCRAFT'!O68,BattenPriceTab,2,FALSE)),IF(E44&lt;1000,IF(D44=" 40",VLOOKUP("Minimum2",BattenPriceTab,2,FALSE),VLOOKUP("minimum",BattenPriceTab,2,FALSE)),(E44/1000)*VLOOKUP('Purchase Order SCRAFT'!O68,BattenPriceTab,2,FALSE))))</f>
        <v/>
      </c>
      <c r="I44" s="247"/>
      <c r="J44" s="243">
        <f t="shared" si="5"/>
        <v>0</v>
      </c>
      <c r="K44" s="243">
        <f t="shared" si="7"/>
        <v>0</v>
      </c>
      <c r="L44" s="248">
        <f>'Purchase Order SCRAFT'!S68</f>
        <v>0</v>
      </c>
      <c r="M44" s="249">
        <f t="shared" si="8"/>
        <v>0</v>
      </c>
    </row>
    <row r="45" spans="1:17" ht="14.1" customHeight="1" x14ac:dyDescent="0.2">
      <c r="A45" s="63">
        <v>15</v>
      </c>
      <c r="B45" s="64" t="str">
        <f t="shared" si="6"/>
        <v xml:space="preserve"> </v>
      </c>
      <c r="C45" s="351" t="str">
        <f>IF('Purchase Order SCRAFT'!$O69="","",IF(OR(LEFT('Purchase Order SCRAFT'!$O69,6)="Custom",'Purchase Order SCRAFT'!O69="Build-out"),'Purchase Order SCRAFT'!P69,TRIM(LEFT('Purchase Order SCRAFT'!$O69,FIND("x",'Purchase Order SCRAFT'!O69)-1))))</f>
        <v/>
      </c>
      <c r="D45" s="351" t="str">
        <f>IF('Purchase Order SCRAFT'!$O69="","",IF(LEFT('Purchase Order SCRAFT'!$O69,6)="Custom",'Purchase Order SCRAFT'!Q69,IF(RIGHT('Purchase Order SCRAFT'!$O69,5)="strip",MID('Purchase Order SCRAFT'!$O69,5,2),IF('Purchase Order SCRAFT'!O69="Build-out",1,RIGHT('Purchase Order SCRAFT'!$O69,LEN('Purchase Order SCRAFT'!O69)-FIND("x",'Purchase Order SCRAFT'!O69))))))</f>
        <v/>
      </c>
      <c r="E45" s="354">
        <f>'Purchase Order SCRAFT'!R69</f>
        <v>0</v>
      </c>
      <c r="F45" s="341">
        <f>IF('Purchase Order SCRAFT'!O69="",0,(VALUE(C45)*VALUE(D45)*VALUE(E45)*L45)/1000^3)</f>
        <v>0</v>
      </c>
      <c r="G45" s="579" t="b">
        <f>IF('Purchase Order SCRAFT'!O69="Custom Batten",TRUE)</f>
        <v>0</v>
      </c>
      <c r="H45" s="243" t="str">
        <f>IF('Purchase Order SCRAFT'!M69="","",IF(G45,IF(((F45/L45)/ROUNDUP(E45/1000,0))*VLOOKUP('Purchase Order SCRAFT'!O69,BattenPriceTab,2,FALSE)&lt;VLOOKUP("custom min",BattenPriceTab,2,FALSE),VLOOKUP("custom min",BattenPriceTab,2,FALSE)*ROUNDUP((E45*L45)/1000,0),F45*VLOOKUP('Purchase Order SCRAFT'!O69,BattenPriceTab,2,FALSE)),IF(E45&lt;1000,IF(D45=" 40",VLOOKUP("Minimum2",BattenPriceTab,2,FALSE),VLOOKUP("minimum",BattenPriceTab,2,FALSE)),(E45/1000)*VLOOKUP('Purchase Order SCRAFT'!O69,BattenPriceTab,2,FALSE))))</f>
        <v/>
      </c>
      <c r="I45" s="247"/>
      <c r="J45" s="243">
        <f t="shared" si="5"/>
        <v>0</v>
      </c>
      <c r="K45" s="243">
        <f t="shared" si="7"/>
        <v>0</v>
      </c>
      <c r="L45" s="248">
        <f>'Purchase Order SCRAFT'!S69</f>
        <v>0</v>
      </c>
      <c r="M45" s="249">
        <f t="shared" si="8"/>
        <v>0</v>
      </c>
    </row>
    <row r="46" spans="1:17" ht="14.1" customHeight="1" x14ac:dyDescent="0.2">
      <c r="A46" s="63">
        <v>16</v>
      </c>
      <c r="B46" s="64" t="str">
        <f t="shared" si="6"/>
        <v xml:space="preserve"> </v>
      </c>
      <c r="C46" s="351" t="str">
        <f>IF('Purchase Order SCRAFT'!$O70="","",IF(OR(LEFT('Purchase Order SCRAFT'!$O70,6)="Custom",'Purchase Order SCRAFT'!O70="Build-out"),'Purchase Order SCRAFT'!P70,TRIM(LEFT('Purchase Order SCRAFT'!$O70,FIND("x",'Purchase Order SCRAFT'!O70)-1))))</f>
        <v/>
      </c>
      <c r="D46" s="351" t="str">
        <f>IF('Purchase Order SCRAFT'!$O70="","",IF(LEFT('Purchase Order SCRAFT'!$O70,6)="Custom",'Purchase Order SCRAFT'!Q70,IF(RIGHT('Purchase Order SCRAFT'!$O70,5)="strip",MID('Purchase Order SCRAFT'!$O70,5,2),IF('Purchase Order SCRAFT'!O70="Build-out",1,RIGHT('Purchase Order SCRAFT'!$O70,LEN('Purchase Order SCRAFT'!O70)-FIND("x",'Purchase Order SCRAFT'!O70))))))</f>
        <v/>
      </c>
      <c r="E46" s="354">
        <f>'Purchase Order SCRAFT'!R70</f>
        <v>0</v>
      </c>
      <c r="F46" s="341">
        <f>IF('Purchase Order SCRAFT'!O70="",0,(VALUE(C46)*VALUE(D46)*VALUE(E46)*L46)/1000^3)</f>
        <v>0</v>
      </c>
      <c r="G46" s="579" t="b">
        <f>IF('Purchase Order SCRAFT'!O70="Custom Batten",TRUE)</f>
        <v>0</v>
      </c>
      <c r="H46" s="243" t="str">
        <f>IF('Purchase Order SCRAFT'!M70="","",IF(G46,IF(((F46/L46)/ROUNDUP(E46/1000,0))*VLOOKUP('Purchase Order SCRAFT'!O70,BattenPriceTab,2,FALSE)&lt;VLOOKUP("custom min",BattenPriceTab,2,FALSE),VLOOKUP("custom min",BattenPriceTab,2,FALSE)*ROUNDUP((E46*L46)/1000,0),F46*VLOOKUP('Purchase Order SCRAFT'!O70,BattenPriceTab,2,FALSE)),IF(E46&lt;1000,IF(D46=" 40",VLOOKUP("Minimum2",BattenPriceTab,2,FALSE),VLOOKUP("minimum",BattenPriceTab,2,FALSE)),(E46/1000)*VLOOKUP('Purchase Order SCRAFT'!O70,BattenPriceTab,2,FALSE))))</f>
        <v/>
      </c>
      <c r="I46" s="247"/>
      <c r="J46" s="243">
        <f t="shared" si="5"/>
        <v>0</v>
      </c>
      <c r="K46" s="243">
        <f t="shared" si="7"/>
        <v>0</v>
      </c>
      <c r="L46" s="248">
        <f>'Purchase Order SCRAFT'!S70</f>
        <v>0</v>
      </c>
      <c r="M46" s="249">
        <f t="shared" si="8"/>
        <v>0</v>
      </c>
    </row>
    <row r="47" spans="1:17" ht="14.1" customHeight="1" x14ac:dyDescent="0.2">
      <c r="A47" s="63">
        <v>17</v>
      </c>
      <c r="B47" s="64" t="str">
        <f t="shared" si="6"/>
        <v xml:space="preserve"> </v>
      </c>
      <c r="C47" s="351" t="str">
        <f>IF('Purchase Order SCRAFT'!$O71="","",IF(OR(LEFT('Purchase Order SCRAFT'!$O71,6)="Custom",'Purchase Order SCRAFT'!O71="Build-out"),'Purchase Order SCRAFT'!P71,TRIM(LEFT('Purchase Order SCRAFT'!$O71,FIND("x",'Purchase Order SCRAFT'!O71)-1))))</f>
        <v/>
      </c>
      <c r="D47" s="351" t="str">
        <f>IF('Purchase Order SCRAFT'!$O71="","",IF(LEFT('Purchase Order SCRAFT'!$O71,6)="Custom",'Purchase Order SCRAFT'!Q71,IF(RIGHT('Purchase Order SCRAFT'!$O71,5)="strip",MID('Purchase Order SCRAFT'!$O71,5,2),IF('Purchase Order SCRAFT'!O71="Build-out",1,RIGHT('Purchase Order SCRAFT'!$O71,LEN('Purchase Order SCRAFT'!O71)-FIND("x",'Purchase Order SCRAFT'!O71))))))</f>
        <v/>
      </c>
      <c r="E47" s="354">
        <f>'Purchase Order SCRAFT'!R71</f>
        <v>0</v>
      </c>
      <c r="F47" s="341">
        <f>IF('Purchase Order SCRAFT'!O71="",0,(VALUE(C47)*VALUE(D47)*VALUE(E47)*L47)/1000^3)</f>
        <v>0</v>
      </c>
      <c r="G47" s="579" t="b">
        <f>IF('Purchase Order SCRAFT'!O71="Custom Batten",TRUE)</f>
        <v>0</v>
      </c>
      <c r="H47" s="243" t="str">
        <f>IF('Purchase Order SCRAFT'!M71="","",IF(G47,IF(((F47/L47)/ROUNDUP(E47/1000,0))*VLOOKUP('Purchase Order SCRAFT'!O71,BattenPriceTab,2,FALSE)&lt;VLOOKUP("custom min",BattenPriceTab,2,FALSE),VLOOKUP("custom min",BattenPriceTab,2,FALSE)*ROUNDUP((E47*L47)/1000,0),F47*VLOOKUP('Purchase Order SCRAFT'!O71,BattenPriceTab,2,FALSE)),IF(E47&lt;1000,IF(D47=" 40",VLOOKUP("Minimum2",BattenPriceTab,2,FALSE),VLOOKUP("minimum",BattenPriceTab,2,FALSE)),(E47/1000)*VLOOKUP('Purchase Order SCRAFT'!O71,BattenPriceTab,2,FALSE))))</f>
        <v/>
      </c>
      <c r="I47" s="247"/>
      <c r="J47" s="243">
        <f t="shared" si="5"/>
        <v>0</v>
      </c>
      <c r="K47" s="243">
        <f t="shared" si="7"/>
        <v>0</v>
      </c>
      <c r="L47" s="248">
        <f>'Purchase Order SCRAFT'!S71</f>
        <v>0</v>
      </c>
      <c r="M47" s="249">
        <f t="shared" si="8"/>
        <v>0</v>
      </c>
    </row>
    <row r="48" spans="1:17" ht="14.1" customHeight="1" x14ac:dyDescent="0.2">
      <c r="A48" s="63">
        <v>18</v>
      </c>
      <c r="B48" s="64" t="str">
        <f t="shared" si="6"/>
        <v xml:space="preserve"> </v>
      </c>
      <c r="C48" s="351" t="str">
        <f>IF('Purchase Order SCRAFT'!$O72="","",IF(OR(LEFT('Purchase Order SCRAFT'!$O72,6)="Custom",'Purchase Order SCRAFT'!O72="Build-out"),'Purchase Order SCRAFT'!P72,TRIM(LEFT('Purchase Order SCRAFT'!$O72,FIND("x",'Purchase Order SCRAFT'!O72)-1))))</f>
        <v/>
      </c>
      <c r="D48" s="351" t="str">
        <f>IF('Purchase Order SCRAFT'!$O72="","",IF(LEFT('Purchase Order SCRAFT'!$O72,6)="Custom",'Purchase Order SCRAFT'!Q72,IF(RIGHT('Purchase Order SCRAFT'!$O72,5)="strip",MID('Purchase Order SCRAFT'!$O72,5,2),IF('Purchase Order SCRAFT'!O72="Build-out",1,RIGHT('Purchase Order SCRAFT'!$O72,LEN('Purchase Order SCRAFT'!O72)-FIND("x",'Purchase Order SCRAFT'!O72))))))</f>
        <v/>
      </c>
      <c r="E48" s="354">
        <f>'Purchase Order SCRAFT'!R72</f>
        <v>0</v>
      </c>
      <c r="F48" s="341">
        <f>IF('Purchase Order SCRAFT'!O72="",0,(VALUE(C48)*VALUE(D48)*VALUE(E48)*L48)/1000^3)</f>
        <v>0</v>
      </c>
      <c r="G48" s="579" t="b">
        <f>IF('Purchase Order SCRAFT'!O72="Custom Batten",TRUE)</f>
        <v>0</v>
      </c>
      <c r="H48" s="243" t="str">
        <f>IF('Purchase Order SCRAFT'!M72="","",IF(G48,IF(((F48/L48)/ROUNDUP(E48/1000,0))*VLOOKUP('Purchase Order SCRAFT'!O72,BattenPriceTab,2,FALSE)&lt;VLOOKUP("custom min",BattenPriceTab,2,FALSE),VLOOKUP("custom min",BattenPriceTab,2,FALSE)*ROUNDUP((E48*L48)/1000,0),F48*VLOOKUP('Purchase Order SCRAFT'!O72,BattenPriceTab,2,FALSE)),IF(E48&lt;1000,IF(D48=" 40",VLOOKUP("Minimum2",BattenPriceTab,2,FALSE),VLOOKUP("minimum",BattenPriceTab,2,FALSE)),(E48/1000)*VLOOKUP('Purchase Order SCRAFT'!O72,BattenPriceTab,2,FALSE))))</f>
        <v/>
      </c>
      <c r="I48" s="247"/>
      <c r="J48" s="243">
        <f t="shared" si="5"/>
        <v>0</v>
      </c>
      <c r="K48" s="243">
        <f t="shared" si="7"/>
        <v>0</v>
      </c>
      <c r="L48" s="248">
        <f>'Purchase Order SCRAFT'!S72</f>
        <v>0</v>
      </c>
      <c r="M48" s="249">
        <f t="shared" si="8"/>
        <v>0</v>
      </c>
    </row>
    <row r="49" spans="1:21" ht="14.1" customHeight="1" x14ac:dyDescent="0.2">
      <c r="A49" s="63">
        <v>19</v>
      </c>
      <c r="B49" s="64" t="str">
        <f t="shared" si="6"/>
        <v xml:space="preserve"> </v>
      </c>
      <c r="C49" s="351" t="str">
        <f>IF('Purchase Order SCRAFT'!$O73="","",IF(OR(LEFT('Purchase Order SCRAFT'!$O73,6)="Custom",'Purchase Order SCRAFT'!O73="Build-out"),'Purchase Order SCRAFT'!P73,TRIM(LEFT('Purchase Order SCRAFT'!$O73,FIND("x",'Purchase Order SCRAFT'!O73)-1))))</f>
        <v/>
      </c>
      <c r="D49" s="351" t="str">
        <f>IF('Purchase Order SCRAFT'!$O73="","",IF(LEFT('Purchase Order SCRAFT'!$O73,6)="Custom",'Purchase Order SCRAFT'!Q73,IF(RIGHT('Purchase Order SCRAFT'!$O73,5)="strip",MID('Purchase Order SCRAFT'!$O73,5,2),IF('Purchase Order SCRAFT'!O73="Build-out",1,RIGHT('Purchase Order SCRAFT'!$O73,LEN('Purchase Order SCRAFT'!O73)-FIND("x",'Purchase Order SCRAFT'!O73))))))</f>
        <v/>
      </c>
      <c r="E49" s="354">
        <f>'Purchase Order SCRAFT'!R73</f>
        <v>0</v>
      </c>
      <c r="F49" s="341">
        <f>IF('Purchase Order SCRAFT'!O73="",0,(VALUE(C49)*VALUE(D49)*VALUE(E49)*L49)/1000^3)</f>
        <v>0</v>
      </c>
      <c r="G49" s="579" t="b">
        <f>IF('Purchase Order SCRAFT'!O73="Custom Batten",TRUE)</f>
        <v>0</v>
      </c>
      <c r="H49" s="243" t="str">
        <f>IF('Purchase Order SCRAFT'!M73="","",IF(G49,IF(((F49/L49)/ROUNDUP(E49/1000,0))*VLOOKUP('Purchase Order SCRAFT'!O73,BattenPriceTab,2,FALSE)&lt;VLOOKUP("custom min",BattenPriceTab,2,FALSE),VLOOKUP("custom min",BattenPriceTab,2,FALSE)*ROUNDUP((E49*L49)/1000,0),F49*VLOOKUP('Purchase Order SCRAFT'!O73,BattenPriceTab,2,FALSE)),IF(E49&lt;1000,IF(D49=" 40",VLOOKUP("Minimum2",BattenPriceTab,2,FALSE),VLOOKUP("minimum",BattenPriceTab,2,FALSE)),(E49/1000)*VLOOKUP('Purchase Order SCRAFT'!O73,BattenPriceTab,2,FALSE))))</f>
        <v/>
      </c>
      <c r="I49" s="247"/>
      <c r="J49" s="243">
        <f t="shared" si="5"/>
        <v>0</v>
      </c>
      <c r="K49" s="243">
        <f t="shared" si="7"/>
        <v>0</v>
      </c>
      <c r="L49" s="248">
        <f>'Purchase Order SCRAFT'!S73</f>
        <v>0</v>
      </c>
      <c r="M49" s="249">
        <f t="shared" si="8"/>
        <v>0</v>
      </c>
      <c r="N49" t="s">
        <v>871</v>
      </c>
      <c r="O49" s="426">
        <v>7.5000002980232239E-2</v>
      </c>
    </row>
    <row r="50" spans="1:21" ht="14.1" customHeight="1" thickBot="1" x14ac:dyDescent="0.25">
      <c r="A50" s="65">
        <v>20</v>
      </c>
      <c r="B50" s="66" t="str">
        <f t="shared" si="6"/>
        <v xml:space="preserve"> </v>
      </c>
      <c r="C50" s="352" t="str">
        <f>IF('Purchase Order SCRAFT'!$O74="","",IF(OR(LEFT('Purchase Order SCRAFT'!$O74,6)="Custom",'Purchase Order SCRAFT'!O74="Build-out"),'Purchase Order SCRAFT'!P74,TRIM(LEFT('Purchase Order SCRAFT'!$O74,FIND("x",'Purchase Order SCRAFT'!O74)-1))))</f>
        <v/>
      </c>
      <c r="D50" s="352" t="str">
        <f>IF('Purchase Order SCRAFT'!$O74="","",IF(LEFT('Purchase Order SCRAFT'!$O74,6)="Custom",'Purchase Order SCRAFT'!Q74,IF(RIGHT('Purchase Order SCRAFT'!$O74,5)="strip",MID('Purchase Order SCRAFT'!$O74,5,2),IF('Purchase Order SCRAFT'!O74="Build-out",1,RIGHT('Purchase Order SCRAFT'!$O74,LEN('Purchase Order SCRAFT'!O74)-FIND("x",'Purchase Order SCRAFT'!O74))))))</f>
        <v/>
      </c>
      <c r="E50" s="355">
        <f>'Purchase Order SCRAFT'!R74</f>
        <v>0</v>
      </c>
      <c r="F50" s="342">
        <f>IF('Purchase Order SCRAFT'!O74="",0,(VALUE(C50)*VALUE(D50)*VALUE(E50)*L50)/1000^3)</f>
        <v>0</v>
      </c>
      <c r="G50" s="580" t="b">
        <f>IF('Purchase Order SCRAFT'!O74="Custom Batten",TRUE)</f>
        <v>0</v>
      </c>
      <c r="H50" s="251" t="str">
        <f>IF('Purchase Order SCRAFT'!M74="","",IF(G50,IF(((F50/L50)/ROUNDUP(E50/1000,0))*VLOOKUP('Purchase Order SCRAFT'!O74,BattenPriceTab,2,FALSE)&lt;VLOOKUP("custom min",BattenPriceTab,2,FALSE),VLOOKUP("custom min",BattenPriceTab,2,FALSE)*ROUNDUP((E50*L50)/1000,0),F50*VLOOKUP('Purchase Order SCRAFT'!O74,BattenPriceTab,2,FALSE)),IF(E50&lt;1000,IF(D50=" 40",VLOOKUP("Minimum2",BattenPriceTab,2,FALSE),VLOOKUP("minimum",BattenPriceTab,2,FALSE)),(E50/1000)*VLOOKUP('Purchase Order SCRAFT'!O74,BattenPriceTab,2,FALSE))))</f>
        <v/>
      </c>
      <c r="I50" s="250"/>
      <c r="J50" s="251">
        <f t="shared" si="5"/>
        <v>0</v>
      </c>
      <c r="K50" s="251">
        <f t="shared" si="7"/>
        <v>0</v>
      </c>
      <c r="L50" s="252">
        <f>'Purchase Order SCRAFT'!S74</f>
        <v>0</v>
      </c>
      <c r="M50" s="253">
        <f t="shared" si="8"/>
        <v>0</v>
      </c>
      <c r="N50" t="s">
        <v>872</v>
      </c>
      <c r="O50" s="1158">
        <v>0</v>
      </c>
    </row>
    <row r="51" spans="1:21" ht="15.75" thickBot="1" x14ac:dyDescent="0.25">
      <c r="B51" s="34" t="s">
        <v>189</v>
      </c>
      <c r="C51" s="34"/>
      <c r="D51" s="34"/>
      <c r="E51" s="34"/>
      <c r="F51" s="343">
        <f>SUM(F31:F50)</f>
        <v>2.2025E-3</v>
      </c>
      <c r="N51" t="s">
        <v>873</v>
      </c>
      <c r="O51" s="1159">
        <v>183.39</v>
      </c>
    </row>
    <row r="52" spans="1:21" ht="24.75" thickBot="1" x14ac:dyDescent="0.25">
      <c r="A52" s="10" t="s">
        <v>31</v>
      </c>
      <c r="B52" s="11" t="s">
        <v>0</v>
      </c>
      <c r="C52" s="175" t="s">
        <v>152</v>
      </c>
      <c r="D52" s="175" t="s">
        <v>151</v>
      </c>
      <c r="E52" s="175" t="s">
        <v>487</v>
      </c>
      <c r="F52" s="10" t="s">
        <v>25</v>
      </c>
      <c r="G52" s="129" t="s">
        <v>306</v>
      </c>
      <c r="H52" s="20" t="s">
        <v>56</v>
      </c>
      <c r="I52" s="947" t="s">
        <v>717</v>
      </c>
      <c r="L52" s="130"/>
      <c r="M52" s="69"/>
      <c r="N52" s="69" t="s">
        <v>253</v>
      </c>
      <c r="O52" s="70" t="s">
        <v>150</v>
      </c>
      <c r="P52" s="71">
        <v>2246.34</v>
      </c>
    </row>
    <row r="53" spans="1:21" ht="15.75" thickBot="1" x14ac:dyDescent="0.25">
      <c r="A53" s="240">
        <v>1</v>
      </c>
      <c r="B53" s="257" t="str">
        <f>'Purchase Order SCRAFT'!X55</f>
        <v xml:space="preserve">Bed 2 </v>
      </c>
      <c r="C53" s="257">
        <f t="shared" ref="C53:C72" ca="1" si="9">J31+Q7</f>
        <v>291.75922800000001</v>
      </c>
      <c r="D53" s="257">
        <f t="shared" ref="D53:D72" ca="1" si="10">W7+M31</f>
        <v>182.34951750000002</v>
      </c>
      <c r="E53" s="259">
        <f>COUNT('Purchase Order SCRAFT'!I31)+COUNT('Purchase Order SCRAFT'!K31)+COUNT('Purchase Order SCRAFT'!M31)+COUNT('Purchase Order SCRAFT'!O31)+COUNT('Purchase Order SCRAFT'!Q31)+COUNT('Purchase Order SCRAFT'!S31)+COUNT('Purchase Order SCRAFT'!U31)+COUNT('Purchase Order SCRAFT'!W31)+COUNT('Purchase Order SCRAFT'!Y31)+COUNT('Purchase Order SCRAFT'!AA31)</f>
        <v>0</v>
      </c>
      <c r="F53" s="259">
        <f>IF('Purchase Order SCRAFT'!C7="",0,IF(LEFT('Purchase Order SCRAFT'!C7,4)="Free",ROUND(LEN('Purchase Order SCRAFT'!E7)*VLOOKUP('Purchase Order SCRAFT'!E7,FreeFloatPanels,2,FALSE),0)*V7,IF(prefix="ss_",VLOOKUP('Purchase Order SCRAFT'!C7,Mounting_Factor_Tab,2,FALSE)*V7,LEN('Purchase Order SCRAFT'!E7)*VLOOKUP('Purchase Order SCRAFT'!C7,Mounting_Factor_Tab,2,FALSE)*V7))-(E53*'Purchase Order SCRAFT'!D7*VLOOKUP('Purchase Order SCRAFT'!C7,Mounting_Factor_Tab,2,FALSE)))</f>
        <v>4</v>
      </c>
      <c r="G53" s="203">
        <f>IF(F53=0,"",(F53/V7)*(1+COUNTIF('Purchase Order SCRAFT'!I7:J7,"&gt;0")+COUNTIF('Purchase Order SCRAFT'!I7:J7,"c")+COUNTIF('Purchase Order SCRAFT'!P7,"&gt;0")+COUNTIF('Purchase Order SCRAFT'!P7,"c")-IF(LEFT('Purchase Order SCRAFT'!M7,5)="Solid",1,0)))</f>
        <v>4</v>
      </c>
      <c r="H53" s="18">
        <v>1</v>
      </c>
      <c r="I53" s="974">
        <f>IF('Purchase Order SCRAFT'!AD31&lt;&gt;"",COUNTIF('Purchase Order SCRAFT'!AD31,"&lt;&gt;none"),0)</f>
        <v>0</v>
      </c>
      <c r="L53" s="131"/>
      <c r="M53" s="73"/>
      <c r="N53" s="73"/>
      <c r="O53" s="74" t="s">
        <v>420</v>
      </c>
      <c r="P53" s="71">
        <v>0</v>
      </c>
      <c r="Q53" s="34" t="s">
        <v>421</v>
      </c>
      <c r="R53" s="268"/>
      <c r="S53" s="258"/>
      <c r="T53" s="258"/>
      <c r="U53" s="269"/>
    </row>
    <row r="54" spans="1:21" x14ac:dyDescent="0.2">
      <c r="A54" s="4">
        <v>2</v>
      </c>
      <c r="B54" s="18" t="str">
        <f>'Purchase Order SCRAFT'!X56</f>
        <v>Bed1</v>
      </c>
      <c r="C54" s="18">
        <f t="shared" ca="1" si="9"/>
        <v>496.32113999999996</v>
      </c>
      <c r="D54" s="18">
        <f t="shared" ca="1" si="10"/>
        <v>313.48196249999995</v>
      </c>
      <c r="E54" s="18">
        <f>COUNT('Purchase Order SCRAFT'!I32)+COUNT('Purchase Order SCRAFT'!K32)+COUNT('Purchase Order SCRAFT'!M32)+COUNT('Purchase Order SCRAFT'!O32)+COUNT('Purchase Order SCRAFT'!Q32)+COUNT('Purchase Order SCRAFT'!S32)+COUNT('Purchase Order SCRAFT'!U32)+COUNT('Purchase Order SCRAFT'!W32)+COUNT('Purchase Order SCRAFT'!Y32)+COUNT('Purchase Order SCRAFT'!AA32)</f>
        <v>2</v>
      </c>
      <c r="F54" s="18">
        <f>IF('Purchase Order SCRAFT'!C8="",0,IF(LEFT('Purchase Order SCRAFT'!C8,4)="Free",ROUND(LEN('Purchase Order SCRAFT'!E8)*VLOOKUP('Purchase Order SCRAFT'!E8,FreeFloatPanels,2,FALSE),0)*V8,IF(prefix="ss_",VLOOKUP('Purchase Order SCRAFT'!C8,Mounting_Factor_Tab,2,FALSE)*V8,LEN('Purchase Order SCRAFT'!E8)*VLOOKUP('Purchase Order SCRAFT'!C8,Mounting_Factor_Tab,2,FALSE)*V8))-(E54*'Purchase Order SCRAFT'!D8*VLOOKUP('Purchase Order SCRAFT'!C8,Mounting_Factor_Tab,2,FALSE)))</f>
        <v>6</v>
      </c>
      <c r="G54" s="18">
        <f>IF(F54=0,"",(F54/V8)*(1+COUNTIF('Purchase Order SCRAFT'!I8:J8,"&gt;0")+COUNTIF('Purchase Order SCRAFT'!I8:J8,"c")+COUNTIF('Purchase Order SCRAFT'!P8,"&gt;0")+COUNTIF('Purchase Order SCRAFT'!P8,"c")-IF(LEFT('Purchase Order SCRAFT'!M8,5)="Solid",1,0)))</f>
        <v>6</v>
      </c>
      <c r="H54" s="18">
        <v>1</v>
      </c>
      <c r="I54" s="18">
        <f>IF('Purchase Order SCRAFT'!AD32&lt;&gt;"",COUNTIF('Purchase Order SCRAFT'!AD32,"&lt;&gt;none"),0)</f>
        <v>0</v>
      </c>
      <c r="L54" s="131" t="s">
        <v>172</v>
      </c>
      <c r="M54" s="73">
        <f>'Purchase Order SCRAFT'!G27</f>
        <v>20.630000000000003</v>
      </c>
      <c r="N54" s="345">
        <f>IF(VLOOKUP(DeliveryChoice,DeliveryPriceTab,2,FALSE)*PanelsSqM&gt;VLOOKUP(DeliveryChoice,DeliveryPriceTab,4,FALSE),VLOOKUP(DeliveryChoice,DeliveryPriceTab,2,FALSE)*PanelsSqM,VLOOKUP(DeliveryChoice,DeliveryPriceTab,4,FALSE))</f>
        <v>0</v>
      </c>
      <c r="O54" s="74" t="s">
        <v>294</v>
      </c>
      <c r="P54" s="71">
        <v>15.44</v>
      </c>
    </row>
    <row r="55" spans="1:21" x14ac:dyDescent="0.2">
      <c r="A55" s="4">
        <v>3</v>
      </c>
      <c r="B55" s="18" t="str">
        <f>'Purchase Order SCRAFT'!X57</f>
        <v xml:space="preserve">Dressing Room </v>
      </c>
      <c r="C55" s="18">
        <f t="shared" ca="1" si="9"/>
        <v>294.34020000000004</v>
      </c>
      <c r="D55" s="18">
        <f t="shared" ca="1" si="10"/>
        <v>183.96262500000003</v>
      </c>
      <c r="E55" s="18">
        <f>COUNT('Purchase Order SCRAFT'!I33)+COUNT('Purchase Order SCRAFT'!K33)+COUNT('Purchase Order SCRAFT'!M33)+COUNT('Purchase Order SCRAFT'!O33)+COUNT('Purchase Order SCRAFT'!Q33)+COUNT('Purchase Order SCRAFT'!S33)+COUNT('Purchase Order SCRAFT'!U33)+COUNT('Purchase Order SCRAFT'!W33)+COUNT('Purchase Order SCRAFT'!Y33)+COUNT('Purchase Order SCRAFT'!AA33)</f>
        <v>0</v>
      </c>
      <c r="F55" s="18">
        <f>IF('Purchase Order SCRAFT'!C9="",0,IF(LEFT('Purchase Order SCRAFT'!C9,4)="Free",ROUND(LEN('Purchase Order SCRAFT'!E9)*VLOOKUP('Purchase Order SCRAFT'!E9,FreeFloatPanels,2,FALSE),0)*V9,IF(prefix="ss_",VLOOKUP('Purchase Order SCRAFT'!C9,Mounting_Factor_Tab,2,FALSE)*V9,LEN('Purchase Order SCRAFT'!E9)*VLOOKUP('Purchase Order SCRAFT'!C9,Mounting_Factor_Tab,2,FALSE)*V9))-(E55*'Purchase Order SCRAFT'!D9*VLOOKUP('Purchase Order SCRAFT'!C9,Mounting_Factor_Tab,2,FALSE)))</f>
        <v>4</v>
      </c>
      <c r="G55" s="18">
        <f>IF(F55=0,"",(F55/V9)*(1+COUNTIF('Purchase Order SCRAFT'!I9:J9,"&gt;0")+COUNTIF('Purchase Order SCRAFT'!I9:J9,"c")+COUNTIF('Purchase Order SCRAFT'!P9,"&gt;0")+COUNTIF('Purchase Order SCRAFT'!P9,"c")-IF(LEFT('Purchase Order SCRAFT'!M9,5)="Solid",1,0)))</f>
        <v>4</v>
      </c>
      <c r="H55" s="18">
        <v>1</v>
      </c>
      <c r="I55" s="18">
        <f>IF('Purchase Order SCRAFT'!AD33&lt;&gt;"",COUNTIF('Purchase Order SCRAFT'!AD33,"&lt;&gt;none"),0)</f>
        <v>0</v>
      </c>
      <c r="L55" s="131" t="s">
        <v>243</v>
      </c>
      <c r="M55" s="339">
        <f>F51</f>
        <v>2.2025E-3</v>
      </c>
      <c r="N55" s="325">
        <f>VLOOKUP(DeliveryChoice,DeliveryPriceTab,3,FALSE)*M55</f>
        <v>0</v>
      </c>
      <c r="O55" s="74" t="s">
        <v>236</v>
      </c>
      <c r="P55" s="327">
        <f>IF(ISNA(IF(Form_Type="Frame",SUM(N55:N57),SUM(N54:N56))),"POA",IF(Form_Type="Frame",SUM(N55:N57),SUM(N54:N56)))</f>
        <v>0</v>
      </c>
    </row>
    <row r="56" spans="1:21" x14ac:dyDescent="0.2">
      <c r="A56" s="4">
        <v>4</v>
      </c>
      <c r="B56" s="18" t="str">
        <f>'Purchase Order SCRAFT'!X58</f>
        <v xml:space="preserve">Front Door Panels </v>
      </c>
      <c r="C56" s="18">
        <f t="shared" ca="1" si="9"/>
        <v>75.935999999999993</v>
      </c>
      <c r="D56" s="18">
        <f t="shared" ca="1" si="10"/>
        <v>47.459999999999994</v>
      </c>
      <c r="E56" s="18">
        <f>COUNT('Purchase Order SCRAFT'!I34)+COUNT('Purchase Order SCRAFT'!K34)+COUNT('Purchase Order SCRAFT'!M34)+COUNT('Purchase Order SCRAFT'!O34)+COUNT('Purchase Order SCRAFT'!Q34)+COUNT('Purchase Order SCRAFT'!S34)+COUNT('Purchase Order SCRAFT'!U34)+COUNT('Purchase Order SCRAFT'!W34)+COUNT('Purchase Order SCRAFT'!Y34)+COUNT('Purchase Order SCRAFT'!AA34)</f>
        <v>0</v>
      </c>
      <c r="F56" s="18">
        <f>IF('Purchase Order SCRAFT'!C10="",0,IF(LEFT('Purchase Order SCRAFT'!C10,4)="Free",ROUND(LEN('Purchase Order SCRAFT'!E10)*VLOOKUP('Purchase Order SCRAFT'!E10,FreeFloatPanels,2,FALSE),0)*V10,IF(prefix="ss_",VLOOKUP('Purchase Order SCRAFT'!C10,Mounting_Factor_Tab,2,FALSE)*V10,LEN('Purchase Order SCRAFT'!E10)*VLOOKUP('Purchase Order SCRAFT'!C10,Mounting_Factor_Tab,2,FALSE)*V10))-(E56*'Purchase Order SCRAFT'!D10*VLOOKUP('Purchase Order SCRAFT'!C10,Mounting_Factor_Tab,2,FALSE)))</f>
        <v>1</v>
      </c>
      <c r="G56" s="18">
        <f>IF(F56=0,"",(F56/V10)*(1+COUNTIF('Purchase Order SCRAFT'!I10:J10,"&gt;0")+COUNTIF('Purchase Order SCRAFT'!I10:J10,"c")+COUNTIF('Purchase Order SCRAFT'!P10,"&gt;0")+COUNTIF('Purchase Order SCRAFT'!P10,"c")-IF(LEFT('Purchase Order SCRAFT'!M10,5)="Solid",1,0)))</f>
        <v>1</v>
      </c>
      <c r="H56" s="18">
        <v>1</v>
      </c>
      <c r="I56" s="18">
        <f>IF('Purchase Order SCRAFT'!AD34&lt;&gt;"",COUNTIF('Purchase Order SCRAFT'!AD34,"&lt;&gt;none"),0)</f>
        <v>0</v>
      </c>
      <c r="L56" s="131" t="s">
        <v>250</v>
      </c>
      <c r="M56" s="324">
        <f>V95</f>
        <v>0</v>
      </c>
      <c r="N56" s="325">
        <f>VLOOKUP(DeliveryChoice,DeliveryPriceTab,3,FALSE)*M56</f>
        <v>0</v>
      </c>
      <c r="O56" s="74" t="s">
        <v>59</v>
      </c>
      <c r="P56" s="327">
        <f>IF(ISNA(OR(PanelsSqM*DeliveryCharge,M55,M56,M57)),"POA",(PanelsSqM*DeliveryCharge)+IF(AND(PanelsSqM=0,OR(M55&gt;0,M56&gt;0,M57&gt;0)),10,0))</f>
        <v>0</v>
      </c>
    </row>
    <row r="57" spans="1:21" x14ac:dyDescent="0.2">
      <c r="A57" s="4">
        <v>5</v>
      </c>
      <c r="B57" s="18" t="str">
        <f>'Purchase Order SCRAFT'!X59</f>
        <v xml:space="preserve">Front Door Panels </v>
      </c>
      <c r="C57" s="18">
        <f t="shared" ca="1" si="9"/>
        <v>75.935999999999993</v>
      </c>
      <c r="D57" s="18">
        <f t="shared" ca="1" si="10"/>
        <v>47.459999999999994</v>
      </c>
      <c r="E57" s="18">
        <f>COUNT('Purchase Order SCRAFT'!I35)+COUNT('Purchase Order SCRAFT'!K35)+COUNT('Purchase Order SCRAFT'!M35)+COUNT('Purchase Order SCRAFT'!O35)+COUNT('Purchase Order SCRAFT'!Q35)+COUNT('Purchase Order SCRAFT'!S35)+COUNT('Purchase Order SCRAFT'!U35)+COUNT('Purchase Order SCRAFT'!W35)+COUNT('Purchase Order SCRAFT'!Y35)+COUNT('Purchase Order SCRAFT'!AA35)</f>
        <v>0</v>
      </c>
      <c r="F57" s="18">
        <f>IF('Purchase Order SCRAFT'!C11="",0,IF(LEFT('Purchase Order SCRAFT'!C11,4)="Free",ROUND(LEN('Purchase Order SCRAFT'!E11)*VLOOKUP('Purchase Order SCRAFT'!E11,FreeFloatPanels,2,FALSE),0)*V11,IF(prefix="ss_",VLOOKUP('Purchase Order SCRAFT'!C11,Mounting_Factor_Tab,2,FALSE)*V11,LEN('Purchase Order SCRAFT'!E11)*VLOOKUP('Purchase Order SCRAFT'!C11,Mounting_Factor_Tab,2,FALSE)*V11))-(E57*'Purchase Order SCRAFT'!D11*VLOOKUP('Purchase Order SCRAFT'!C11,Mounting_Factor_Tab,2,FALSE)))</f>
        <v>1</v>
      </c>
      <c r="G57" s="18">
        <f>IF(F57=0,"",(F57/V11)*(1+COUNTIF('Purchase Order SCRAFT'!I11:J11,"&gt;0")+COUNTIF('Purchase Order SCRAFT'!I11:J11,"c")+COUNTIF('Purchase Order SCRAFT'!P11,"&gt;0")+COUNTIF('Purchase Order SCRAFT'!P11,"c")-IF(LEFT('Purchase Order SCRAFT'!M11,5)="Solid",1,0)))</f>
        <v>1</v>
      </c>
      <c r="H57" s="18">
        <v>1</v>
      </c>
      <c r="I57" s="18">
        <f>IF('Purchase Order SCRAFT'!AD35&lt;&gt;"",COUNTIF('Purchase Order SCRAFT'!AD35,"&lt;&gt;none"),0)</f>
        <v>0</v>
      </c>
      <c r="L57" s="72" t="s">
        <v>251</v>
      </c>
      <c r="M57" s="73">
        <f>S95</f>
        <v>0.11134117040000001</v>
      </c>
      <c r="N57" s="325">
        <f>VLOOKUP(DeliveryChoice,DeliveryPriceTab,3,FALSE)*M57</f>
        <v>0</v>
      </c>
      <c r="O57" s="74" t="s">
        <v>12</v>
      </c>
      <c r="P57" s="75">
        <f>IF(ISNA(P52+P53+P54+P55+P56),"POA",P52+P53+P54+P55+P56)</f>
        <v>2261.7800000000002</v>
      </c>
    </row>
    <row r="58" spans="1:21" x14ac:dyDescent="0.2">
      <c r="A58" s="4">
        <v>6</v>
      </c>
      <c r="B58" s="18" t="str">
        <f>'Purchase Order SCRAFT'!X60</f>
        <v>Study</v>
      </c>
      <c r="C58" s="18">
        <f t="shared" ca="1" si="9"/>
        <v>823.58399999999995</v>
      </c>
      <c r="D58" s="18">
        <f t="shared" ca="1" si="10"/>
        <v>514.74</v>
      </c>
      <c r="E58" s="18">
        <f>COUNT('Purchase Order SCRAFT'!I36)+COUNT('Purchase Order SCRAFT'!K36)+COUNT('Purchase Order SCRAFT'!M36)+COUNT('Purchase Order SCRAFT'!O36)+COUNT('Purchase Order SCRAFT'!Q36)+COUNT('Purchase Order SCRAFT'!S36)+COUNT('Purchase Order SCRAFT'!U36)+COUNT('Purchase Order SCRAFT'!W36)+COUNT('Purchase Order SCRAFT'!Y36)+COUNT('Purchase Order SCRAFT'!AA36)</f>
        <v>0</v>
      </c>
      <c r="F58" s="18">
        <f>IF('Purchase Order SCRAFT'!C12="",0,IF(LEFT('Purchase Order SCRAFT'!C12,4)="Free",ROUND(LEN('Purchase Order SCRAFT'!E12)*VLOOKUP('Purchase Order SCRAFT'!E12,FreeFloatPanels,2,FALSE),0)*V12,IF(prefix="ss_",VLOOKUP('Purchase Order SCRAFT'!C12,Mounting_Factor_Tab,2,FALSE)*V12,LEN('Purchase Order SCRAFT'!E12)*VLOOKUP('Purchase Order SCRAFT'!C12,Mounting_Factor_Tab,2,FALSE)*V12))-(E58*'Purchase Order SCRAFT'!D12*VLOOKUP('Purchase Order SCRAFT'!C12,Mounting_Factor_Tab,2,FALSE)))</f>
        <v>4</v>
      </c>
      <c r="G58" s="18">
        <f>IF(F58=0,"",(F58/V12)*(1+COUNTIF('Purchase Order SCRAFT'!I12:J12,"&gt;0")+COUNTIF('Purchase Order SCRAFT'!I12:J12,"c")+COUNTIF('Purchase Order SCRAFT'!P12,"&gt;0")+COUNTIF('Purchase Order SCRAFT'!P12,"c")-IF(LEFT('Purchase Order SCRAFT'!M12,5)="Solid",1,0)))</f>
        <v>4</v>
      </c>
      <c r="H58" s="18">
        <v>1</v>
      </c>
      <c r="I58" s="18">
        <f>IF('Purchase Order SCRAFT'!AD36&lt;&gt;"",COUNTIF('Purchase Order SCRAFT'!AD36,"&lt;&gt;none"),0)</f>
        <v>0</v>
      </c>
      <c r="L58" s="72" t="s">
        <v>264</v>
      </c>
      <c r="M58" s="339">
        <f>IF(Form_Type="Frame",SUM(M55:M57),SUM(M55:M56))</f>
        <v>2.2025E-3</v>
      </c>
      <c r="N58" s="73"/>
      <c r="O58" s="74" t="s">
        <v>13</v>
      </c>
      <c r="P58" s="75">
        <f>IF(ISNA(P57*VAT_rate),"POA",P57*VAT_rate)</f>
        <v>0</v>
      </c>
    </row>
    <row r="59" spans="1:21" ht="15.75" thickBot="1" x14ac:dyDescent="0.25">
      <c r="A59" s="4">
        <v>7</v>
      </c>
      <c r="B59" s="18" t="str">
        <f>'Purchase Order SCRAFT'!X61</f>
        <v>Study</v>
      </c>
      <c r="C59" s="18">
        <f t="shared" ca="1" si="9"/>
        <v>1116.4800000000002</v>
      </c>
      <c r="D59" s="18">
        <f t="shared" ca="1" si="10"/>
        <v>697.80000000000018</v>
      </c>
      <c r="E59" s="18">
        <f>COUNT('Purchase Order SCRAFT'!I37)+COUNT('Purchase Order SCRAFT'!K37)+COUNT('Purchase Order SCRAFT'!M37)+COUNT('Purchase Order SCRAFT'!O37)+COUNT('Purchase Order SCRAFT'!Q37)+COUNT('Purchase Order SCRAFT'!S37)+COUNT('Purchase Order SCRAFT'!U37)+COUNT('Purchase Order SCRAFT'!W37)+COUNT('Purchase Order SCRAFT'!Y37)+COUNT('Purchase Order SCRAFT'!AA37)</f>
        <v>0</v>
      </c>
      <c r="F59" s="18">
        <f>IF('Purchase Order SCRAFT'!C13="",0,IF(LEFT('Purchase Order SCRAFT'!C13,4)="Free",ROUND(LEN('Purchase Order SCRAFT'!E13)*VLOOKUP('Purchase Order SCRAFT'!E13,FreeFloatPanels,2,FALSE),0)*V13,IF(prefix="ss_",VLOOKUP('Purchase Order SCRAFT'!C13,Mounting_Factor_Tab,2,FALSE)*V13,LEN('Purchase Order SCRAFT'!E13)*VLOOKUP('Purchase Order SCRAFT'!C13,Mounting_Factor_Tab,2,FALSE)*V13))-(E59*'Purchase Order SCRAFT'!D13*VLOOKUP('Purchase Order SCRAFT'!C13,Mounting_Factor_Tab,2,FALSE)))</f>
        <v>6</v>
      </c>
      <c r="G59" s="18">
        <f>IF(F59=0,"",(F59/V13)*(1+COUNTIF('Purchase Order SCRAFT'!I13:J13,"&gt;0")+COUNTIF('Purchase Order SCRAFT'!I13:J13,"c")+COUNTIF('Purchase Order SCRAFT'!P13,"&gt;0")+COUNTIF('Purchase Order SCRAFT'!P13,"c")-IF(LEFT('Purchase Order SCRAFT'!M13,5)="Solid",1,0)))</f>
        <v>6</v>
      </c>
      <c r="H59" s="18">
        <v>1</v>
      </c>
      <c r="I59" s="18">
        <f>IF('Purchase Order SCRAFT'!AD37&lt;&gt;"",COUNTIF('Purchase Order SCRAFT'!AD37,"&lt;&gt;none"),0)</f>
        <v>0</v>
      </c>
      <c r="L59" s="72"/>
      <c r="M59" s="73"/>
      <c r="N59" s="73"/>
      <c r="O59" s="74" t="s">
        <v>11</v>
      </c>
      <c r="P59" s="76">
        <f>IF(ISNA(P57+P58),"POA",P57+P58)</f>
        <v>2261.7800000000002</v>
      </c>
    </row>
    <row r="60" spans="1:21" ht="16.5" thickTop="1" thickBot="1" x14ac:dyDescent="0.25">
      <c r="A60" s="4">
        <v>8</v>
      </c>
      <c r="B60" s="18" t="str">
        <f>'Purchase Order SCRAFT'!X62</f>
        <v xml:space="preserve">Living Room </v>
      </c>
      <c r="C60" s="18">
        <f t="shared" ca="1" si="9"/>
        <v>514.59408000000008</v>
      </c>
      <c r="D60" s="18">
        <f t="shared" ca="1" si="10"/>
        <v>321.62130000000002</v>
      </c>
      <c r="E60" s="18">
        <f>COUNT('Purchase Order SCRAFT'!I38)+COUNT('Purchase Order SCRAFT'!K38)+COUNT('Purchase Order SCRAFT'!M38)+COUNT('Purchase Order SCRAFT'!O38)+COUNT('Purchase Order SCRAFT'!Q38)+COUNT('Purchase Order SCRAFT'!S38)+COUNT('Purchase Order SCRAFT'!U38)+COUNT('Purchase Order SCRAFT'!W38)+COUNT('Purchase Order SCRAFT'!Y38)+COUNT('Purchase Order SCRAFT'!AA38)</f>
        <v>0</v>
      </c>
      <c r="F60" s="18">
        <f>IF('Purchase Order SCRAFT'!C14="",0,IF(LEFT('Purchase Order SCRAFT'!C14,4)="Free",ROUND(LEN('Purchase Order SCRAFT'!E14)*VLOOKUP('Purchase Order SCRAFT'!E14,FreeFloatPanels,2,FALSE),0)*V14,IF(prefix="ss_",VLOOKUP('Purchase Order SCRAFT'!C14,Mounting_Factor_Tab,2,FALSE)*V14,LEN('Purchase Order SCRAFT'!E14)*VLOOKUP('Purchase Order SCRAFT'!C14,Mounting_Factor_Tab,2,FALSE)*V14))-(E60*'Purchase Order SCRAFT'!D14*VLOOKUP('Purchase Order SCRAFT'!C14,Mounting_Factor_Tab,2,FALSE)))</f>
        <v>4</v>
      </c>
      <c r="G60" s="18">
        <f>IF(F60=0,"",(F60/V14)*(1+COUNTIF('Purchase Order SCRAFT'!I14:J14,"&gt;0")+COUNTIF('Purchase Order SCRAFT'!I14:J14,"c")+COUNTIF('Purchase Order SCRAFT'!P14,"&gt;0")+COUNTIF('Purchase Order SCRAFT'!P14,"c")-IF(LEFT('Purchase Order SCRAFT'!M14,5)="Solid",1,0)))</f>
        <v>4</v>
      </c>
      <c r="H60" s="18">
        <v>1</v>
      </c>
      <c r="I60" s="18">
        <f>IF('Purchase Order SCRAFT'!AD38&lt;&gt;"",COUNTIF('Purchase Order SCRAFT'!AD38,"&lt;&gt;none"),0)</f>
        <v>0</v>
      </c>
      <c r="L60" s="72"/>
      <c r="M60" s="73"/>
      <c r="N60" s="73"/>
      <c r="O60" s="73"/>
      <c r="P60" s="77"/>
    </row>
    <row r="61" spans="1:21" ht="15.75" thickBot="1" x14ac:dyDescent="0.25">
      <c r="A61" s="4">
        <v>9</v>
      </c>
      <c r="B61" s="18" t="str">
        <f>'Purchase Order SCRAFT'!X63</f>
        <v>Utility</v>
      </c>
      <c r="C61" s="18">
        <f t="shared" ca="1" si="9"/>
        <v>218.06400000000002</v>
      </c>
      <c r="D61" s="18">
        <f t="shared" ca="1" si="10"/>
        <v>136.29000000000002</v>
      </c>
      <c r="E61" s="18">
        <f>COUNT('Purchase Order SCRAFT'!I39)+COUNT('Purchase Order SCRAFT'!K39)+COUNT('Purchase Order SCRAFT'!M39)+COUNT('Purchase Order SCRAFT'!O39)+COUNT('Purchase Order SCRAFT'!Q39)+COUNT('Purchase Order SCRAFT'!S39)+COUNT('Purchase Order SCRAFT'!U39)+COUNT('Purchase Order SCRAFT'!W39)+COUNT('Purchase Order SCRAFT'!Y39)+COUNT('Purchase Order SCRAFT'!AA39)</f>
        <v>0</v>
      </c>
      <c r="F61" s="18">
        <f>IF('Purchase Order SCRAFT'!C15="",0,IF(LEFT('Purchase Order SCRAFT'!C15,4)="Free",ROUND(LEN('Purchase Order SCRAFT'!E15)*VLOOKUP('Purchase Order SCRAFT'!E15,FreeFloatPanels,2,FALSE),0)*V15,IF(prefix="ss_",VLOOKUP('Purchase Order SCRAFT'!C15,Mounting_Factor_Tab,2,FALSE)*V15,LEN('Purchase Order SCRAFT'!E15)*VLOOKUP('Purchase Order SCRAFT'!C15,Mounting_Factor_Tab,2,FALSE)*V15))-(E61*'Purchase Order SCRAFT'!D15*VLOOKUP('Purchase Order SCRAFT'!C15,Mounting_Factor_Tab,2,FALSE)))</f>
        <v>4</v>
      </c>
      <c r="G61" s="18">
        <f>IF(F61=0,"",(F61/V15)*(1+COUNTIF('Purchase Order SCRAFT'!I15:J15,"&gt;0")+COUNTIF('Purchase Order SCRAFT'!I15:J15,"c")+COUNTIF('Purchase Order SCRAFT'!P15,"&gt;0")+COUNTIF('Purchase Order SCRAFT'!P15,"c")-IF(LEFT('Purchase Order SCRAFT'!M15,5)="Solid",1,0)))</f>
        <v>4</v>
      </c>
      <c r="H61" s="18">
        <v>1</v>
      </c>
      <c r="I61" s="18">
        <f>IF('Purchase Order SCRAFT'!AD39&lt;&gt;"",COUNTIF('Purchase Order SCRAFT'!AD39,"&lt;&gt;none"),0)</f>
        <v>0</v>
      </c>
      <c r="L61" s="78"/>
      <c r="M61" s="79"/>
      <c r="N61" s="79"/>
      <c r="O61" s="80" t="s">
        <v>48</v>
      </c>
      <c r="P61" s="81">
        <f>IF(P59="POA","POA",ROUND(P59/2,2))</f>
        <v>1130.8900000000001</v>
      </c>
    </row>
    <row r="62" spans="1:21" x14ac:dyDescent="0.2">
      <c r="A62" s="4">
        <v>10</v>
      </c>
      <c r="B62" s="18" t="str">
        <f>'Purchase Order SCRAFT'!X64</f>
        <v xml:space="preserve"> </v>
      </c>
      <c r="C62" s="18" t="e">
        <f t="shared" si="9"/>
        <v>#VALUE!</v>
      </c>
      <c r="D62" s="18">
        <f t="shared" si="10"/>
        <v>0</v>
      </c>
      <c r="E62" s="18">
        <f>COUNT('Purchase Order SCRAFT'!I40)+COUNT('Purchase Order SCRAFT'!K40)+COUNT('Purchase Order SCRAFT'!M40)+COUNT('Purchase Order SCRAFT'!O40)+COUNT('Purchase Order SCRAFT'!Q40)+COUNT('Purchase Order SCRAFT'!S40)+COUNT('Purchase Order SCRAFT'!U40)+COUNT('Purchase Order SCRAFT'!W40)+COUNT('Purchase Order SCRAFT'!Y40)+COUNT('Purchase Order SCRAFT'!AA40)</f>
        <v>0</v>
      </c>
      <c r="F62" s="18">
        <f>IF('Purchase Order SCRAFT'!C16="",0,IF(LEFT('Purchase Order SCRAFT'!C16,4)="Free",ROUND(LEN('Purchase Order SCRAFT'!E16)*VLOOKUP('Purchase Order SCRAFT'!E16,FreeFloatPanels,2,FALSE),0)*V16,IF(prefix="ss_",VLOOKUP('Purchase Order SCRAFT'!C16,Mounting_Factor_Tab,2,FALSE)*V16,LEN('Purchase Order SCRAFT'!E16)*VLOOKUP('Purchase Order SCRAFT'!C16,Mounting_Factor_Tab,2,FALSE)*V16))-(E62*'Purchase Order SCRAFT'!D16*VLOOKUP('Purchase Order SCRAFT'!C16,Mounting_Factor_Tab,2,FALSE)))</f>
        <v>0</v>
      </c>
      <c r="G62" s="18" t="str">
        <f>IF(F62=0,"",(F62/V16)*(1+COUNTIF('Purchase Order SCRAFT'!I16:J16,"&gt;0")+COUNTIF('Purchase Order SCRAFT'!I16:J16,"c")+COUNTIF('Purchase Order SCRAFT'!P16,"&gt;0")+COUNTIF('Purchase Order SCRAFT'!P16,"c")-IF(LEFT('Purchase Order SCRAFT'!M16,5)="Solid",1,0)))</f>
        <v/>
      </c>
      <c r="H62" s="18">
        <v>1</v>
      </c>
      <c r="I62" s="18">
        <f>IF('Purchase Order SCRAFT'!AD40&lt;&gt;"",COUNTIF('Purchase Order SCRAFT'!AD40,"&lt;&gt;none"),0)</f>
        <v>0</v>
      </c>
    </row>
    <row r="63" spans="1:21" x14ac:dyDescent="0.2">
      <c r="A63" s="4">
        <v>11</v>
      </c>
      <c r="B63" s="18" t="str">
        <f>'Purchase Order SCRAFT'!X65</f>
        <v xml:space="preserve"> </v>
      </c>
      <c r="C63" s="18" t="e">
        <f t="shared" si="9"/>
        <v>#VALUE!</v>
      </c>
      <c r="D63" s="18">
        <f t="shared" si="10"/>
        <v>0</v>
      </c>
      <c r="E63" s="18">
        <f>COUNT('Purchase Order SCRAFT'!I41)+COUNT('Purchase Order SCRAFT'!K41)+COUNT('Purchase Order SCRAFT'!M41)+COUNT('Purchase Order SCRAFT'!O41)+COUNT('Purchase Order SCRAFT'!Q41)+COUNT('Purchase Order SCRAFT'!S41)+COUNT('Purchase Order SCRAFT'!U41)+COUNT('Purchase Order SCRAFT'!W41)+COUNT('Purchase Order SCRAFT'!Y41)+COUNT('Purchase Order SCRAFT'!AA41)</f>
        <v>0</v>
      </c>
      <c r="F63" s="18">
        <f>IF('Purchase Order SCRAFT'!C17="",0,IF(LEFT('Purchase Order SCRAFT'!C17,4)="Free",ROUND(LEN('Purchase Order SCRAFT'!E17)*VLOOKUP('Purchase Order SCRAFT'!E17,FreeFloatPanels,2,FALSE),0)*V17,IF(prefix="ss_",VLOOKUP('Purchase Order SCRAFT'!C17,Mounting_Factor_Tab,2,FALSE)*V17,LEN('Purchase Order SCRAFT'!E17)*VLOOKUP('Purchase Order SCRAFT'!C17,Mounting_Factor_Tab,2,FALSE)*V17))-(E63*'Purchase Order SCRAFT'!D17*VLOOKUP('Purchase Order SCRAFT'!C17,Mounting_Factor_Tab,2,FALSE)))</f>
        <v>0</v>
      </c>
      <c r="G63" s="18" t="str">
        <f>IF(F63=0,"",(F63/V17)*(1+COUNTIF('Purchase Order SCRAFT'!I17:J17,"&gt;0")+COUNTIF('Purchase Order SCRAFT'!I17:J17,"c")+COUNTIF('Purchase Order SCRAFT'!P17,"&gt;0")+COUNTIF('Purchase Order SCRAFT'!P17,"c")-IF(LEFT('Purchase Order SCRAFT'!M17,5)="Solid",1,0)))</f>
        <v/>
      </c>
      <c r="H63" s="18">
        <v>1</v>
      </c>
      <c r="I63" s="18">
        <f>IF('Purchase Order SCRAFT'!AD41&lt;&gt;"",COUNTIF('Purchase Order SCRAFT'!AD41,"&lt;&gt;none"),0)</f>
        <v>0</v>
      </c>
    </row>
    <row r="64" spans="1:21" x14ac:dyDescent="0.2">
      <c r="A64" s="4">
        <v>12</v>
      </c>
      <c r="B64" s="18" t="str">
        <f>'Purchase Order SCRAFT'!X66</f>
        <v xml:space="preserve"> </v>
      </c>
      <c r="C64" s="18" t="e">
        <f t="shared" si="9"/>
        <v>#VALUE!</v>
      </c>
      <c r="D64" s="18">
        <f t="shared" si="10"/>
        <v>0</v>
      </c>
      <c r="E64" s="18">
        <f>COUNT('Purchase Order SCRAFT'!I42)+COUNT('Purchase Order SCRAFT'!K42)+COUNT('Purchase Order SCRAFT'!M42)+COUNT('Purchase Order SCRAFT'!O42)+COUNT('Purchase Order SCRAFT'!Q42)+COUNT('Purchase Order SCRAFT'!S42)+COUNT('Purchase Order SCRAFT'!U42)+COUNT('Purchase Order SCRAFT'!W42)+COUNT('Purchase Order SCRAFT'!Y42)+COUNT('Purchase Order SCRAFT'!AA42)</f>
        <v>0</v>
      </c>
      <c r="F64" s="18">
        <f>IF('Purchase Order SCRAFT'!C18="",0,IF(LEFT('Purchase Order SCRAFT'!C18,4)="Free",ROUND(LEN('Purchase Order SCRAFT'!E18)*VLOOKUP('Purchase Order SCRAFT'!E18,FreeFloatPanels,2,FALSE),0)*V18,IF(prefix="ss_",VLOOKUP('Purchase Order SCRAFT'!C18,Mounting_Factor_Tab,2,FALSE)*V18,LEN('Purchase Order SCRAFT'!E18)*VLOOKUP('Purchase Order SCRAFT'!C18,Mounting_Factor_Tab,2,FALSE)*V18))-(E64*'Purchase Order SCRAFT'!D18*VLOOKUP('Purchase Order SCRAFT'!C18,Mounting_Factor_Tab,2,FALSE)))</f>
        <v>0</v>
      </c>
      <c r="G64" s="18" t="str">
        <f>IF(F64=0,"",(F64/V18)*(1+COUNTIF('Purchase Order SCRAFT'!I18:J18,"&gt;0")+COUNTIF('Purchase Order SCRAFT'!I18:J18,"c")+COUNTIF('Purchase Order SCRAFT'!P18,"&gt;0")+COUNTIF('Purchase Order SCRAFT'!P18,"c")-IF(LEFT('Purchase Order SCRAFT'!M18,5)="Solid",1,0)))</f>
        <v/>
      </c>
      <c r="H64" s="18">
        <v>1</v>
      </c>
      <c r="I64" s="18">
        <f>IF('Purchase Order SCRAFT'!AD42&lt;&gt;"",COUNTIF('Purchase Order SCRAFT'!AD42,"&lt;&gt;none"),0)</f>
        <v>0</v>
      </c>
    </row>
    <row r="65" spans="1:24" x14ac:dyDescent="0.2">
      <c r="A65" s="4">
        <v>13</v>
      </c>
      <c r="B65" s="18" t="str">
        <f>'Purchase Order SCRAFT'!X67</f>
        <v xml:space="preserve"> </v>
      </c>
      <c r="C65" s="18" t="e">
        <f t="shared" si="9"/>
        <v>#VALUE!</v>
      </c>
      <c r="D65" s="18">
        <f t="shared" si="10"/>
        <v>0</v>
      </c>
      <c r="E65" s="18">
        <f>COUNT('Purchase Order SCRAFT'!I43)+COUNT('Purchase Order SCRAFT'!K43)+COUNT('Purchase Order SCRAFT'!M43)+COUNT('Purchase Order SCRAFT'!O43)+COUNT('Purchase Order SCRAFT'!Q43)+COUNT('Purchase Order SCRAFT'!S43)+COUNT('Purchase Order SCRAFT'!U43)+COUNT('Purchase Order SCRAFT'!W43)+COUNT('Purchase Order SCRAFT'!Y43)+COUNT('Purchase Order SCRAFT'!AA43)</f>
        <v>0</v>
      </c>
      <c r="F65" s="18">
        <f>IF('Purchase Order SCRAFT'!C19="",0,IF(LEFT('Purchase Order SCRAFT'!C19,4)="Free",ROUND(LEN('Purchase Order SCRAFT'!E19)*VLOOKUP('Purchase Order SCRAFT'!E19,FreeFloatPanels,2,FALSE),0)*V19,IF(prefix="ss_",VLOOKUP('Purchase Order SCRAFT'!C19,Mounting_Factor_Tab,2,FALSE)*V19,LEN('Purchase Order SCRAFT'!E19)*VLOOKUP('Purchase Order SCRAFT'!C19,Mounting_Factor_Tab,2,FALSE)*V19))-(E65*'Purchase Order SCRAFT'!D19*VLOOKUP('Purchase Order SCRAFT'!C19,Mounting_Factor_Tab,2,FALSE)))</f>
        <v>0</v>
      </c>
      <c r="G65" s="18" t="str">
        <f>IF(F65=0,"",(F65/V19)*(1+COUNTIF('Purchase Order SCRAFT'!I19:J19,"&gt;0")+COUNTIF('Purchase Order SCRAFT'!I19:J19,"c")+COUNTIF('Purchase Order SCRAFT'!P19,"&gt;0")+COUNTIF('Purchase Order SCRAFT'!P19,"c")-IF(LEFT('Purchase Order SCRAFT'!M19,5)="Solid",1,0)))</f>
        <v/>
      </c>
      <c r="H65" s="18">
        <v>1</v>
      </c>
      <c r="I65" s="18">
        <f>IF('Purchase Order SCRAFT'!AD43&lt;&gt;"",COUNTIF('Purchase Order SCRAFT'!AD43,"&lt;&gt;none"),0)</f>
        <v>0</v>
      </c>
    </row>
    <row r="66" spans="1:24" x14ac:dyDescent="0.2">
      <c r="A66" s="4">
        <v>14</v>
      </c>
      <c r="B66" s="18" t="str">
        <f>'Purchase Order SCRAFT'!X68</f>
        <v xml:space="preserve"> </v>
      </c>
      <c r="C66" s="18" t="e">
        <f t="shared" si="9"/>
        <v>#VALUE!</v>
      </c>
      <c r="D66" s="18">
        <f t="shared" si="10"/>
        <v>0</v>
      </c>
      <c r="E66" s="18">
        <f>COUNT('Purchase Order SCRAFT'!I44)+COUNT('Purchase Order SCRAFT'!K44)+COUNT('Purchase Order SCRAFT'!M44)+COUNT('Purchase Order SCRAFT'!O44)+COUNT('Purchase Order SCRAFT'!Q44)+COUNT('Purchase Order SCRAFT'!S44)+COUNT('Purchase Order SCRAFT'!U44)+COUNT('Purchase Order SCRAFT'!W44)+COUNT('Purchase Order SCRAFT'!Y44)+COUNT('Purchase Order SCRAFT'!AA44)</f>
        <v>0</v>
      </c>
      <c r="F66" s="18">
        <f>IF('Purchase Order SCRAFT'!C20="",0,IF(LEFT('Purchase Order SCRAFT'!C20,4)="Free",ROUND(LEN('Purchase Order SCRAFT'!E20)*VLOOKUP('Purchase Order SCRAFT'!E20,FreeFloatPanels,2,FALSE),0)*V20,IF(prefix="ss_",VLOOKUP('Purchase Order SCRAFT'!C20,Mounting_Factor_Tab,2,FALSE)*V20,LEN('Purchase Order SCRAFT'!E20)*VLOOKUP('Purchase Order SCRAFT'!C20,Mounting_Factor_Tab,2,FALSE)*V20))-(E66*'Purchase Order SCRAFT'!D20*VLOOKUP('Purchase Order SCRAFT'!C20,Mounting_Factor_Tab,2,FALSE)))</f>
        <v>0</v>
      </c>
      <c r="G66" s="18" t="str">
        <f>IF(F66=0,"",(F66/V20)*(1+COUNTIF('Purchase Order SCRAFT'!I20:J20,"&gt;0")+COUNTIF('Purchase Order SCRAFT'!I20:J20,"c")+COUNTIF('Purchase Order SCRAFT'!P20,"&gt;0")+COUNTIF('Purchase Order SCRAFT'!P20,"c")-IF(LEFT('Purchase Order SCRAFT'!M20,5)="Solid",1,0)))</f>
        <v/>
      </c>
      <c r="H66" s="18">
        <v>1</v>
      </c>
      <c r="I66" s="18">
        <f>IF('Purchase Order SCRAFT'!AD44&lt;&gt;"",COUNTIF('Purchase Order SCRAFT'!AD44,"&lt;&gt;none"),0)</f>
        <v>0</v>
      </c>
    </row>
    <row r="67" spans="1:24" x14ac:dyDescent="0.2">
      <c r="A67" s="4">
        <v>15</v>
      </c>
      <c r="B67" s="18" t="str">
        <f>'Purchase Order SCRAFT'!X69</f>
        <v xml:space="preserve"> </v>
      </c>
      <c r="C67" s="18" t="e">
        <f t="shared" si="9"/>
        <v>#VALUE!</v>
      </c>
      <c r="D67" s="18">
        <f t="shared" si="10"/>
        <v>0</v>
      </c>
      <c r="E67" s="18">
        <f>COUNT('Purchase Order SCRAFT'!I45)+COUNT('Purchase Order SCRAFT'!K45)+COUNT('Purchase Order SCRAFT'!M45)+COUNT('Purchase Order SCRAFT'!O45)+COUNT('Purchase Order SCRAFT'!Q45)+COUNT('Purchase Order SCRAFT'!S45)+COUNT('Purchase Order SCRAFT'!U45)+COUNT('Purchase Order SCRAFT'!W45)+COUNT('Purchase Order SCRAFT'!Y45)+COUNT('Purchase Order SCRAFT'!AA45)</f>
        <v>0</v>
      </c>
      <c r="F67" s="18">
        <f>IF('Purchase Order SCRAFT'!C21="",0,IF(LEFT('Purchase Order SCRAFT'!C21,4)="Free",ROUND(LEN('Purchase Order SCRAFT'!E21)*VLOOKUP('Purchase Order SCRAFT'!E21,FreeFloatPanels,2,FALSE),0)*V21,IF(prefix="ss_",VLOOKUP('Purchase Order SCRAFT'!C21,Mounting_Factor_Tab,2,FALSE)*V21,LEN('Purchase Order SCRAFT'!E21)*VLOOKUP('Purchase Order SCRAFT'!C21,Mounting_Factor_Tab,2,FALSE)*V21))-(E67*'Purchase Order SCRAFT'!D21*VLOOKUP('Purchase Order SCRAFT'!C21,Mounting_Factor_Tab,2,FALSE)))</f>
        <v>0</v>
      </c>
      <c r="G67" s="18" t="str">
        <f>IF(F67=0,"",(F67/V21)*(1+COUNTIF('Purchase Order SCRAFT'!I21:J21,"&gt;0")+COUNTIF('Purchase Order SCRAFT'!I21:J21,"c")+COUNTIF('Purchase Order SCRAFT'!P21,"&gt;0")+COUNTIF('Purchase Order SCRAFT'!P21,"c")-IF(LEFT('Purchase Order SCRAFT'!M21,5)="Solid",1,0)))</f>
        <v/>
      </c>
      <c r="H67" s="18">
        <v>1</v>
      </c>
      <c r="I67" s="18">
        <f>IF('Purchase Order SCRAFT'!AD45&lt;&gt;"",COUNTIF('Purchase Order SCRAFT'!AD45,"&lt;&gt;none"),0)</f>
        <v>0</v>
      </c>
    </row>
    <row r="68" spans="1:24" x14ac:dyDescent="0.2">
      <c r="A68" s="4">
        <v>16</v>
      </c>
      <c r="B68" s="18" t="str">
        <f>'Purchase Order SCRAFT'!X70</f>
        <v xml:space="preserve"> </v>
      </c>
      <c r="C68" s="18" t="e">
        <f t="shared" si="9"/>
        <v>#VALUE!</v>
      </c>
      <c r="D68" s="18">
        <f t="shared" si="10"/>
        <v>0</v>
      </c>
      <c r="E68" s="18">
        <f>COUNT('Purchase Order SCRAFT'!I46)+COUNT('Purchase Order SCRAFT'!K46)+COUNT('Purchase Order SCRAFT'!M46)+COUNT('Purchase Order SCRAFT'!O46)+COUNT('Purchase Order SCRAFT'!Q46)+COUNT('Purchase Order SCRAFT'!S46)+COUNT('Purchase Order SCRAFT'!U46)+COUNT('Purchase Order SCRAFT'!W46)+COUNT('Purchase Order SCRAFT'!Y46)+COUNT('Purchase Order SCRAFT'!AA46)</f>
        <v>0</v>
      </c>
      <c r="F68" s="18">
        <f>IF('Purchase Order SCRAFT'!C22="",0,IF(LEFT('Purchase Order SCRAFT'!C22,4)="Free",ROUND(LEN('Purchase Order SCRAFT'!E22)*VLOOKUP('Purchase Order SCRAFT'!E22,FreeFloatPanels,2,FALSE),0)*V22,IF(prefix="ss_",VLOOKUP('Purchase Order SCRAFT'!C22,Mounting_Factor_Tab,2,FALSE)*V22,LEN('Purchase Order SCRAFT'!E22)*VLOOKUP('Purchase Order SCRAFT'!C22,Mounting_Factor_Tab,2,FALSE)*V22))-(E68*'Purchase Order SCRAFT'!D22*VLOOKUP('Purchase Order SCRAFT'!C22,Mounting_Factor_Tab,2,FALSE)))</f>
        <v>0</v>
      </c>
      <c r="G68" s="18" t="str">
        <f>IF(F68=0,"",(F68/V22)*(1+COUNTIF('Purchase Order SCRAFT'!I22:J22,"&gt;0")+COUNTIF('Purchase Order SCRAFT'!I22:J22,"c")+COUNTIF('Purchase Order SCRAFT'!P22,"&gt;0")+COUNTIF('Purchase Order SCRAFT'!P22,"c")-IF(LEFT('Purchase Order SCRAFT'!M22,5)="Solid",1,0)))</f>
        <v/>
      </c>
      <c r="H68" s="18">
        <v>1</v>
      </c>
      <c r="I68" s="18">
        <f>IF('Purchase Order SCRAFT'!AD46&lt;&gt;"",COUNTIF('Purchase Order SCRAFT'!AD46,"&lt;&gt;none"),0)</f>
        <v>0</v>
      </c>
    </row>
    <row r="69" spans="1:24" x14ac:dyDescent="0.2">
      <c r="A69" s="4">
        <v>17</v>
      </c>
      <c r="B69" s="18" t="str">
        <f>'Purchase Order SCRAFT'!X71</f>
        <v xml:space="preserve"> </v>
      </c>
      <c r="C69" s="18" t="e">
        <f t="shared" si="9"/>
        <v>#VALUE!</v>
      </c>
      <c r="D69" s="18">
        <f t="shared" si="10"/>
        <v>0</v>
      </c>
      <c r="E69" s="18">
        <f>COUNT('Purchase Order SCRAFT'!I47)+COUNT('Purchase Order SCRAFT'!K47)+COUNT('Purchase Order SCRAFT'!M47)+COUNT('Purchase Order SCRAFT'!O47)+COUNT('Purchase Order SCRAFT'!Q47)+COUNT('Purchase Order SCRAFT'!S47)+COUNT('Purchase Order SCRAFT'!U47)+COUNT('Purchase Order SCRAFT'!W47)+COUNT('Purchase Order SCRAFT'!Y47)+COUNT('Purchase Order SCRAFT'!AA47)</f>
        <v>0</v>
      </c>
      <c r="F69" s="18">
        <f>IF('Purchase Order SCRAFT'!C23="",0,IF(LEFT('Purchase Order SCRAFT'!C23,4)="Free",ROUND(LEN('Purchase Order SCRAFT'!E23)*VLOOKUP('Purchase Order SCRAFT'!E23,FreeFloatPanels,2,FALSE),0)*V23,IF(prefix="ss_",VLOOKUP('Purchase Order SCRAFT'!C23,Mounting_Factor_Tab,2,FALSE)*V23,LEN('Purchase Order SCRAFT'!E23)*VLOOKUP('Purchase Order SCRAFT'!C23,Mounting_Factor_Tab,2,FALSE)*V23))-(E69*'Purchase Order SCRAFT'!D23*VLOOKUP('Purchase Order SCRAFT'!C23,Mounting_Factor_Tab,2,FALSE)))</f>
        <v>0</v>
      </c>
      <c r="G69" s="18" t="str">
        <f>IF(F69=0,"",(F69/V23)*(1+COUNTIF('Purchase Order SCRAFT'!I23:J23,"&gt;0")+COUNTIF('Purchase Order SCRAFT'!I23:J23,"c")+COUNTIF('Purchase Order SCRAFT'!P23,"&gt;0")+COUNTIF('Purchase Order SCRAFT'!P23,"c")-IF(LEFT('Purchase Order SCRAFT'!M23,5)="Solid",1,0)))</f>
        <v/>
      </c>
      <c r="H69" s="18">
        <v>1</v>
      </c>
      <c r="I69" s="18">
        <f>IF('Purchase Order SCRAFT'!AD47&lt;&gt;"",COUNTIF('Purchase Order SCRAFT'!AD47,"&lt;&gt;none"),0)</f>
        <v>0</v>
      </c>
    </row>
    <row r="70" spans="1:24" x14ac:dyDescent="0.2">
      <c r="A70" s="4">
        <v>18</v>
      </c>
      <c r="B70" s="18" t="str">
        <f>'Purchase Order SCRAFT'!X72</f>
        <v xml:space="preserve"> </v>
      </c>
      <c r="C70" s="18" t="e">
        <f t="shared" si="9"/>
        <v>#VALUE!</v>
      </c>
      <c r="D70" s="18">
        <f t="shared" si="10"/>
        <v>0</v>
      </c>
      <c r="E70" s="18">
        <f>COUNT('Purchase Order SCRAFT'!I48)+COUNT('Purchase Order SCRAFT'!K48)+COUNT('Purchase Order SCRAFT'!M48)+COUNT('Purchase Order SCRAFT'!O48)+COUNT('Purchase Order SCRAFT'!Q48)+COUNT('Purchase Order SCRAFT'!S48)+COUNT('Purchase Order SCRAFT'!U48)+COUNT('Purchase Order SCRAFT'!W48)+COUNT('Purchase Order SCRAFT'!Y48)+COUNT('Purchase Order SCRAFT'!AA48)</f>
        <v>0</v>
      </c>
      <c r="F70" s="18">
        <f>IF('Purchase Order SCRAFT'!C24="",0,IF(LEFT('Purchase Order SCRAFT'!C24,4)="Free",ROUND(LEN('Purchase Order SCRAFT'!E24)*VLOOKUP('Purchase Order SCRAFT'!E24,FreeFloatPanels,2,FALSE),0)*V24,IF(prefix="ss_",VLOOKUP('Purchase Order SCRAFT'!C24,Mounting_Factor_Tab,2,FALSE)*V24,LEN('Purchase Order SCRAFT'!E24)*VLOOKUP('Purchase Order SCRAFT'!C24,Mounting_Factor_Tab,2,FALSE)*V24))-(E70*'Purchase Order SCRAFT'!D24*VLOOKUP('Purchase Order SCRAFT'!C24,Mounting_Factor_Tab,2,FALSE)))</f>
        <v>0</v>
      </c>
      <c r="G70" s="18" t="str">
        <f>IF(F70=0,"",(F70/V24)*(1+COUNTIF('Purchase Order SCRAFT'!I24:J24,"&gt;0")+COUNTIF('Purchase Order SCRAFT'!I24:J24,"c")+COUNTIF('Purchase Order SCRAFT'!P24,"&gt;0")+COUNTIF('Purchase Order SCRAFT'!P24,"c")-IF(LEFT('Purchase Order SCRAFT'!M24,5)="Solid",1,0)))</f>
        <v/>
      </c>
      <c r="H70" s="18">
        <v>1</v>
      </c>
      <c r="I70" s="18">
        <f>IF('Purchase Order SCRAFT'!AD48&lt;&gt;"",COUNTIF('Purchase Order SCRAFT'!AD48,"&lt;&gt;none"),0)</f>
        <v>0</v>
      </c>
    </row>
    <row r="71" spans="1:24" x14ac:dyDescent="0.2">
      <c r="A71" s="4">
        <v>19</v>
      </c>
      <c r="B71" s="18" t="str">
        <f>'Purchase Order SCRAFT'!X73</f>
        <v xml:space="preserve"> </v>
      </c>
      <c r="C71" s="18" t="e">
        <f t="shared" si="9"/>
        <v>#VALUE!</v>
      </c>
      <c r="D71" s="18">
        <f t="shared" si="10"/>
        <v>0</v>
      </c>
      <c r="E71" s="18">
        <f>COUNT('Purchase Order SCRAFT'!I49)+COUNT('Purchase Order SCRAFT'!K49)+COUNT('Purchase Order SCRAFT'!M49)+COUNT('Purchase Order SCRAFT'!O49)+COUNT('Purchase Order SCRAFT'!Q49)+COUNT('Purchase Order SCRAFT'!S49)+COUNT('Purchase Order SCRAFT'!U49)+COUNT('Purchase Order SCRAFT'!W49)+COUNT('Purchase Order SCRAFT'!Y49)+COUNT('Purchase Order SCRAFT'!AA49)</f>
        <v>0</v>
      </c>
      <c r="F71" s="18">
        <f>IF('Purchase Order SCRAFT'!C25="",0,IF(LEFT('Purchase Order SCRAFT'!C25,4)="Free",ROUND(LEN('Purchase Order SCRAFT'!E25)*VLOOKUP('Purchase Order SCRAFT'!E25,FreeFloatPanels,2,FALSE),0)*V25,IF(prefix="ss_",VLOOKUP('Purchase Order SCRAFT'!C25,Mounting_Factor_Tab,2,FALSE)*V25,LEN('Purchase Order SCRAFT'!E25)*VLOOKUP('Purchase Order SCRAFT'!C25,Mounting_Factor_Tab,2,FALSE)*V25))-(E71*'Purchase Order SCRAFT'!D25*VLOOKUP('Purchase Order SCRAFT'!C25,Mounting_Factor_Tab,2,FALSE)))</f>
        <v>0</v>
      </c>
      <c r="G71" s="18" t="str">
        <f>IF(F71=0,"",(F71/V25)*(1+COUNTIF('Purchase Order SCRAFT'!I25:J25,"&gt;0")+COUNTIF('Purchase Order SCRAFT'!I25:J25,"c")+COUNTIF('Purchase Order SCRAFT'!P25,"&gt;0")+COUNTIF('Purchase Order SCRAFT'!P25,"c")-IF(LEFT('Purchase Order SCRAFT'!M25,5)="Solid",1,0)))</f>
        <v/>
      </c>
      <c r="H71" s="18">
        <v>1</v>
      </c>
      <c r="I71" s="18">
        <f>IF('Purchase Order SCRAFT'!AD49&lt;&gt;"",COUNTIF('Purchase Order SCRAFT'!AD49,"&lt;&gt;none"),0)</f>
        <v>0</v>
      </c>
    </row>
    <row r="72" spans="1:24" ht="15.75" thickBot="1" x14ac:dyDescent="0.25">
      <c r="A72" s="5">
        <v>20</v>
      </c>
      <c r="B72" s="19" t="str">
        <f>'Purchase Order SCRAFT'!X74</f>
        <v xml:space="preserve"> </v>
      </c>
      <c r="C72" s="19" t="e">
        <f t="shared" si="9"/>
        <v>#VALUE!</v>
      </c>
      <c r="D72" s="19">
        <f t="shared" si="10"/>
        <v>0</v>
      </c>
      <c r="E72" s="19">
        <f>COUNT('Purchase Order SCRAFT'!I50)+COUNT('Purchase Order SCRAFT'!K50)+COUNT('Purchase Order SCRAFT'!M50)+COUNT('Purchase Order SCRAFT'!O50)+COUNT('Purchase Order SCRAFT'!Q50)+COUNT('Purchase Order SCRAFT'!S50)+COUNT('Purchase Order SCRAFT'!U50)+COUNT('Purchase Order SCRAFT'!W50)+COUNT('Purchase Order SCRAFT'!Y50)+COUNT('Purchase Order SCRAFT'!AA50)</f>
        <v>0</v>
      </c>
      <c r="F72" s="19">
        <f>IF('Purchase Order SCRAFT'!C26="",0,IF(LEFT('Purchase Order SCRAFT'!C26,4)="Free",ROUND(LEN('Purchase Order SCRAFT'!E26)*VLOOKUP('Purchase Order SCRAFT'!E26,FreeFloatPanels,2,FALSE),0)*V26,IF(prefix="ss_",VLOOKUP('Purchase Order SCRAFT'!C26,Mounting_Factor_Tab,2,FALSE)*V26,LEN('Purchase Order SCRAFT'!E26)*VLOOKUP('Purchase Order SCRAFT'!C26,Mounting_Factor_Tab,2,FALSE)*V26))-(E72*'Purchase Order SCRAFT'!D26*VLOOKUP('Purchase Order SCRAFT'!C26,Mounting_Factor_Tab,2,FALSE)))</f>
        <v>0</v>
      </c>
      <c r="G72" s="19" t="str">
        <f>IF(F72=0,"",(F72/V26)*(1+COUNTIF('Purchase Order SCRAFT'!I26:J26,"&gt;0")+COUNTIF('Purchase Order SCRAFT'!I26:J26,"c")+COUNTIF('Purchase Order SCRAFT'!P26,"&gt;0")+COUNTIF('Purchase Order SCRAFT'!P26,"c")-IF(LEFT('Purchase Order SCRAFT'!M26,5)="Solid",1,0)))</f>
        <v/>
      </c>
      <c r="H72" s="19">
        <v>1</v>
      </c>
      <c r="I72" s="19">
        <f>IF('Purchase Order SCRAFT'!AD50&lt;&gt;"",COUNTIF('Purchase Order SCRAFT'!AD50,"&lt;&gt;none"),0)</f>
        <v>0</v>
      </c>
    </row>
    <row r="73" spans="1:24" ht="15.75" thickBot="1" x14ac:dyDescent="0.25">
      <c r="A73" t="s">
        <v>513</v>
      </c>
    </row>
    <row r="74" spans="1:24" ht="36.75" thickBot="1" x14ac:dyDescent="0.25">
      <c r="A74" s="10" t="s">
        <v>31</v>
      </c>
      <c r="B74" s="11" t="s">
        <v>0</v>
      </c>
      <c r="C74" s="11" t="s">
        <v>639</v>
      </c>
      <c r="D74" s="947" t="s">
        <v>382</v>
      </c>
      <c r="E74" s="948" t="s">
        <v>383</v>
      </c>
      <c r="F74" s="947" t="s">
        <v>502</v>
      </c>
      <c r="G74" s="948" t="s">
        <v>503</v>
      </c>
      <c r="H74" s="11" t="s">
        <v>640</v>
      </c>
      <c r="I74" s="11" t="s">
        <v>641</v>
      </c>
      <c r="J74" s="11" t="s">
        <v>642</v>
      </c>
      <c r="K74" s="11" t="s">
        <v>643</v>
      </c>
      <c r="L74" s="11" t="s">
        <v>246</v>
      </c>
      <c r="M74" s="11" t="s">
        <v>247</v>
      </c>
      <c r="N74" s="11" t="s">
        <v>515</v>
      </c>
      <c r="O74" s="11" t="s">
        <v>514</v>
      </c>
      <c r="P74" s="11" t="s">
        <v>290</v>
      </c>
      <c r="Q74" s="11" t="s">
        <v>291</v>
      </c>
      <c r="R74" s="11" t="s">
        <v>392</v>
      </c>
      <c r="S74" s="326" t="s">
        <v>252</v>
      </c>
      <c r="T74" s="326" t="s">
        <v>393</v>
      </c>
      <c r="U74" s="326" t="s">
        <v>394</v>
      </c>
      <c r="V74" s="440" t="s">
        <v>193</v>
      </c>
      <c r="W74" s="11" t="s">
        <v>530</v>
      </c>
      <c r="X74">
        <f>IF(Form_Type="EX",1.5,0)</f>
        <v>0</v>
      </c>
    </row>
    <row r="75" spans="1:24" x14ac:dyDescent="0.2">
      <c r="A75" s="260">
        <v>1</v>
      </c>
      <c r="B75" s="944" t="str">
        <f>B7</f>
        <v xml:space="preserve">Bed 2 </v>
      </c>
      <c r="C75" s="957" t="b">
        <v>1</v>
      </c>
      <c r="D75" s="958" t="b">
        <f>IF(AND($C75,H75=FALSE),TRUE,FALSE)</f>
        <v>1</v>
      </c>
      <c r="E75" s="958" t="b">
        <f>IF(AND($C75,I75=FALSE),TRUE,FALSE)</f>
        <v>1</v>
      </c>
      <c r="F75" s="958" t="b">
        <f>IF(AND($C75,J75=FALSE),TRUE,FALSE)</f>
        <v>1</v>
      </c>
      <c r="G75" s="958" t="b">
        <f>IF(AND($C75,K75=FALSE),TRUE,FALSE)</f>
        <v>1</v>
      </c>
      <c r="H75" s="959" t="b">
        <v>0</v>
      </c>
      <c r="I75" s="959" t="b">
        <v>0</v>
      </c>
      <c r="J75" s="959" t="b">
        <v>0</v>
      </c>
      <c r="K75" s="959" t="b">
        <v>0</v>
      </c>
      <c r="L75" s="320">
        <f>COUNTIF(F75:G75,TRUE)+COUNTIF(I75:J75,TRUE)</f>
        <v>2</v>
      </c>
      <c r="M75" s="320">
        <f>COUNTIF(D75:E75,TRUE)+ COUNTIF(J75:K75,TRUE)</f>
        <v>2</v>
      </c>
      <c r="N75" s="320">
        <f>IF(D75,1,0)+IF(E75,2,0)+IF(F75,4,0)+IF(G75,8,0)</f>
        <v>15</v>
      </c>
      <c r="O75" s="320">
        <f t="shared" ref="O75:O94" si="11">VLOOKUP(N75,SidesIndexTab,2,FALSE)</f>
        <v>4</v>
      </c>
      <c r="P75" s="452">
        <f>IF(OR(B75=" ",ISNA(L75),ISNA(M75)),0,(((L75*'Purchase Order SCRAFT'!G7)+(M75*'Purchase Order SCRAFT'!F7))/1000))</f>
        <v>5.226</v>
      </c>
      <c r="Q75" s="452">
        <f>(E53*'Purchase Order SCRAFT'!G7)/1000</f>
        <v>0</v>
      </c>
      <c r="R75" s="452">
        <f>VLOOKUP('Purchase Order SCRAFT'!Q7,AdditionalFrameTab,2,FALSE)*1000</f>
        <v>13.8</v>
      </c>
      <c r="S75" s="335">
        <f>IF(OR(B75=" ",ISNA(L75),ISNA(M75),Form_Type="OP"),0,((((L75+E53)*'Purchase Order SCRAFT'!G7)+((M75+I53)*'Purchase Order SCRAFT'!F7))*((50+R75)*38))/1000^3)*V7</f>
        <v>1.2669914400000001E-2</v>
      </c>
      <c r="T75" s="335" t="str">
        <f>IF('Purchase Order SCRAFT'!$AE31="Partial","POA","")</f>
        <v/>
      </c>
      <c r="U75" s="335" t="str">
        <f>IF('Purchase Order SCRAFT'!$AE31="Partial","POA","")</f>
        <v/>
      </c>
      <c r="V75" s="439">
        <f>IF(OR('Purchase Order SCRAFT'!E55="All",'Purchase Order SCRAFT'!E55="Full"),((((P75+Q75)*1000)*'Purchase Order SCRAFT'!F55*38)/1000^3)*V7,IF('Purchase Order SCRAFT'!E55="Partial",(((U75*'Purchase Order SCRAFT'!F7*'Purchase Order SCRAFT'!D7*('Purchase Order SCRAFT'!F55*38)+(T75*'Purchase Order SCRAFT'!G7*'Purchase Order SCRAFT'!D7*('Purchase Order SCRAFT'!F55*38)))/1000^3)),0))</f>
        <v>0</v>
      </c>
      <c r="W75" s="263">
        <f ca="1">IF(AND('Purchase Order SCRAFT'!AE31="Partial",V75=0),"POA",IF(prefix="ss_",IF('Purchase Order SCRAFT'!AE31="No",0,IF('Purchase Order SCRAFT'!G7&lt;1501,2,IF('Purchase Order SCRAFT'!G7&lt;2501,3,4))*'Pricing and calculations'!$X$74),VLOOKUP("Build-out",BattenPriceTab,2,FALSE)*V75))</f>
        <v>0</v>
      </c>
    </row>
    <row r="76" spans="1:24" x14ac:dyDescent="0.2">
      <c r="A76" s="261">
        <v>2</v>
      </c>
      <c r="B76" s="945" t="str">
        <f t="shared" ref="B76:B94" si="12">B8</f>
        <v>Bed1</v>
      </c>
      <c r="C76" s="960" t="b">
        <v>1</v>
      </c>
      <c r="D76" s="961" t="b">
        <f t="shared" ref="D76:D94" si="13">IF(AND($C76,H76=FALSE),TRUE,FALSE)</f>
        <v>1</v>
      </c>
      <c r="E76" s="961" t="b">
        <f t="shared" ref="E76:G90" si="14">IF(AND($C76,I76=FALSE),TRUE,FALSE)</f>
        <v>1</v>
      </c>
      <c r="F76" s="961" t="b">
        <f t="shared" si="14"/>
        <v>1</v>
      </c>
      <c r="G76" s="961" t="b">
        <f t="shared" si="14"/>
        <v>1</v>
      </c>
      <c r="H76" s="961" t="b">
        <v>0</v>
      </c>
      <c r="I76" s="961" t="b">
        <v>0</v>
      </c>
      <c r="J76" s="961" t="b">
        <v>0</v>
      </c>
      <c r="K76" s="961" t="b">
        <v>0</v>
      </c>
      <c r="L76" s="321">
        <f t="shared" ref="L76:L94" si="15">COUNTIF(F76:G76,TRUE)+COUNTIF(I76:J76,TRUE)</f>
        <v>2</v>
      </c>
      <c r="M76" s="321">
        <f t="shared" ref="M76:M94" si="16">COUNTIF(D76:E76,TRUE)</f>
        <v>2</v>
      </c>
      <c r="N76" s="321">
        <f t="shared" ref="N76:N94" si="17">IF(D76,1,0)+IF(E76,2,0)+IF(F76,4,0)+IF(G76,8,0)</f>
        <v>15</v>
      </c>
      <c r="O76" s="321">
        <f t="shared" si="11"/>
        <v>4</v>
      </c>
      <c r="P76" s="321">
        <f>IF(OR(B76=" ",ISNA(L76),ISNA(M76)),0,(((L76*'Purchase Order SCRAFT'!G8)+(M76*'Purchase Order SCRAFT'!F8))/1000))</f>
        <v>7.55</v>
      </c>
      <c r="Q76" s="321">
        <f>(E54*'Purchase Order SCRAFT'!G8)/1000</f>
        <v>2.0099999999999998</v>
      </c>
      <c r="R76" s="321">
        <f>VLOOKUP('Purchase Order SCRAFT'!Q8,AdditionalFrameTab,2,FALSE)*1000</f>
        <v>13.8</v>
      </c>
      <c r="S76" s="336">
        <f>IF(OR(B76=" ",ISNA(L76),ISNA(M76),Form_Type="OP"),0,((((L76+E54)*'Purchase Order SCRAFT'!G8)+((M76+I54)*'Purchase Order SCRAFT'!F8))*((50+R76)*38))/1000^3)*V8</f>
        <v>2.3177264E-2</v>
      </c>
      <c r="T76" s="336" t="str">
        <f>IF('Purchase Order SCRAFT'!$AE32="Partial","POA","")</f>
        <v/>
      </c>
      <c r="U76" s="336" t="str">
        <f>IF('Purchase Order SCRAFT'!$AE32="Partial","POA","")</f>
        <v/>
      </c>
      <c r="V76" s="264">
        <f>IF(OR('Purchase Order SCRAFT'!E56="All",'Purchase Order SCRAFT'!E56="Full"),((((P76+Q76)*1000)*'Purchase Order SCRAFT'!F56*38)/1000^3)*V8,IF('Purchase Order SCRAFT'!E56="Partial",(((U76*'Purchase Order SCRAFT'!F8*'Purchase Order SCRAFT'!D8*('Purchase Order SCRAFT'!F56*38)+(T76*'Purchase Order SCRAFT'!G8*'Purchase Order SCRAFT'!D8*('Purchase Order SCRAFT'!F56*38)))/1000^3)),0))</f>
        <v>0</v>
      </c>
      <c r="W76" s="265">
        <f ca="1">IF(AND('Purchase Order SCRAFT'!AE32="Partial",V76=0),"POA",IF(prefix="ss_",IF('Purchase Order SCRAFT'!AE32="No",0,IF('Purchase Order SCRAFT'!G8&lt;1501,2,IF('Purchase Order SCRAFT'!G8&lt;2501,3,4))*'Pricing and calculations'!$X$74),VLOOKUP("Build-out",BattenPriceTab,2,FALSE)*V76))</f>
        <v>0</v>
      </c>
    </row>
    <row r="77" spans="1:24" x14ac:dyDescent="0.2">
      <c r="A77" s="261">
        <v>3</v>
      </c>
      <c r="B77" s="945" t="str">
        <f t="shared" si="12"/>
        <v xml:space="preserve">Dressing Room </v>
      </c>
      <c r="C77" s="960" t="b">
        <v>1</v>
      </c>
      <c r="D77" s="961" t="b">
        <f t="shared" si="13"/>
        <v>1</v>
      </c>
      <c r="E77" s="961" t="b">
        <f t="shared" si="14"/>
        <v>1</v>
      </c>
      <c r="F77" s="961" t="b">
        <f t="shared" si="14"/>
        <v>1</v>
      </c>
      <c r="G77" s="961" t="b">
        <f t="shared" si="14"/>
        <v>1</v>
      </c>
      <c r="H77" s="961" t="b">
        <v>0</v>
      </c>
      <c r="I77" s="961" t="b">
        <v>0</v>
      </c>
      <c r="J77" s="961" t="b">
        <v>0</v>
      </c>
      <c r="K77" s="961" t="b">
        <v>0</v>
      </c>
      <c r="L77" s="321">
        <f t="shared" si="15"/>
        <v>2</v>
      </c>
      <c r="M77" s="321">
        <f t="shared" si="16"/>
        <v>2</v>
      </c>
      <c r="N77" s="321">
        <f t="shared" si="17"/>
        <v>15</v>
      </c>
      <c r="O77" s="321">
        <f t="shared" si="11"/>
        <v>4</v>
      </c>
      <c r="P77" s="321">
        <f>IF(OR(B77=" ",ISNA(L77),ISNA(M77)),0,(((L77*'Purchase Order SCRAFT'!G9)+(M77*'Purchase Order SCRAFT'!F9))/1000))</f>
        <v>5.3860000000000001</v>
      </c>
      <c r="Q77" s="321">
        <f>(E55*'Purchase Order SCRAFT'!G9)/1000</f>
        <v>0</v>
      </c>
      <c r="R77" s="321">
        <f>VLOOKUP('Purchase Order SCRAFT'!Q9,AdditionalFrameTab,2,FALSE)*1000</f>
        <v>0</v>
      </c>
      <c r="S77" s="336">
        <f>IF(OR(B77=" ",ISNA(L77),ISNA(M77),Form_Type="OP"),0,((((L77+E55)*'Purchase Order SCRAFT'!G9)+((M77+I55)*'Purchase Order SCRAFT'!F9))*((50+R77)*38))/1000^3)*V9</f>
        <v>1.02334E-2</v>
      </c>
      <c r="T77" s="336" t="str">
        <f>IF('Purchase Order SCRAFT'!$AE33="Partial","POA","")</f>
        <v/>
      </c>
      <c r="U77" s="336" t="str">
        <f>IF('Purchase Order SCRAFT'!$AE33="Partial","POA","")</f>
        <v/>
      </c>
      <c r="V77" s="264">
        <f>IF(OR('Purchase Order SCRAFT'!E57="All",'Purchase Order SCRAFT'!E57="Full"),((((P77+Q77)*1000)*'Purchase Order SCRAFT'!F57*38)/1000^3)*V9,IF('Purchase Order SCRAFT'!E57="Partial",(((U77*'Purchase Order SCRAFT'!F9*'Purchase Order SCRAFT'!D9*('Purchase Order SCRAFT'!F57*38)+(T77*'Purchase Order SCRAFT'!G9*'Purchase Order SCRAFT'!D9*('Purchase Order SCRAFT'!F57*38)))/1000^3)),0))</f>
        <v>0</v>
      </c>
      <c r="W77" s="265">
        <f ca="1">IF(AND('Purchase Order SCRAFT'!AE33="Partial",V77=0),"POA",IF(prefix="ss_",IF('Purchase Order SCRAFT'!AE33="No",0,IF('Purchase Order SCRAFT'!G9&lt;1501,2,IF('Purchase Order SCRAFT'!G9&lt;2501,3,4))*'Pricing and calculations'!$X$74),VLOOKUP("Build-out",BattenPriceTab,2,FALSE)*V77))</f>
        <v>0</v>
      </c>
    </row>
    <row r="78" spans="1:24" x14ac:dyDescent="0.2">
      <c r="A78" s="261">
        <v>4</v>
      </c>
      <c r="B78" s="945" t="str">
        <f t="shared" si="12"/>
        <v xml:space="preserve">Front Door Panels </v>
      </c>
      <c r="C78" s="960" t="b">
        <v>1</v>
      </c>
      <c r="D78" s="961" t="b">
        <f t="shared" si="13"/>
        <v>1</v>
      </c>
      <c r="E78" s="961" t="b">
        <f t="shared" si="14"/>
        <v>1</v>
      </c>
      <c r="F78" s="961" t="b">
        <f t="shared" si="14"/>
        <v>1</v>
      </c>
      <c r="G78" s="961" t="b">
        <f t="shared" si="14"/>
        <v>1</v>
      </c>
      <c r="H78" s="961" t="b">
        <v>0</v>
      </c>
      <c r="I78" s="961" t="b">
        <v>0</v>
      </c>
      <c r="J78" s="961" t="b">
        <v>0</v>
      </c>
      <c r="K78" s="961" t="b">
        <v>0</v>
      </c>
      <c r="L78" s="321">
        <f t="shared" si="15"/>
        <v>2</v>
      </c>
      <c r="M78" s="321">
        <f t="shared" si="16"/>
        <v>2</v>
      </c>
      <c r="N78" s="321">
        <f t="shared" si="17"/>
        <v>15</v>
      </c>
      <c r="O78" s="321">
        <f t="shared" si="11"/>
        <v>4</v>
      </c>
      <c r="P78" s="321">
        <f>IF(OR(B78=" ",ISNA(L78),ISNA(M78)),0,(((L78*'Purchase Order SCRAFT'!G10)+(M78*'Purchase Order SCRAFT'!F10))/1000))</f>
        <v>3.06</v>
      </c>
      <c r="Q78" s="321">
        <f>(E56*'Purchase Order SCRAFT'!G10)/1000</f>
        <v>0</v>
      </c>
      <c r="R78" s="321">
        <f>VLOOKUP('Purchase Order SCRAFT'!Q10,AdditionalFrameTab,2,FALSE)*1000</f>
        <v>0</v>
      </c>
      <c r="S78" s="336">
        <f>IF(OR(B78=" ",ISNA(L78),ISNA(M78),Form_Type="OP"),0,((((L78+E56)*'Purchase Order SCRAFT'!G10)+((M78+I56)*'Purchase Order SCRAFT'!F10))*((50+R78)*38))/1000^3)*V10</f>
        <v>5.8139999999999997E-3</v>
      </c>
      <c r="T78" s="336" t="str">
        <f>IF('Purchase Order SCRAFT'!$AE34="Partial","POA","")</f>
        <v/>
      </c>
      <c r="U78" s="336" t="str">
        <f>IF('Purchase Order SCRAFT'!$AE34="Partial","POA","")</f>
        <v/>
      </c>
      <c r="V78" s="264">
        <f>IF(OR('Purchase Order SCRAFT'!E58="All",'Purchase Order SCRAFT'!E58="Full"),((((P78+Q78)*1000)*'Purchase Order SCRAFT'!F58*38)/1000^3)*V10,IF('Purchase Order SCRAFT'!E58="Partial",(((U78*'Purchase Order SCRAFT'!F10*'Purchase Order SCRAFT'!D10*('Purchase Order SCRAFT'!F58*38)+(T78*'Purchase Order SCRAFT'!G10*'Purchase Order SCRAFT'!D10*('Purchase Order SCRAFT'!F58*38)))/1000^3)),0))</f>
        <v>0</v>
      </c>
      <c r="W78" s="265">
        <f ca="1">IF(AND('Purchase Order SCRAFT'!AE34="Partial",V78=0),"POA",IF(prefix="ss_",IF('Purchase Order SCRAFT'!AE34="No",0,IF('Purchase Order SCRAFT'!G10&lt;1501,2,IF('Purchase Order SCRAFT'!G10&lt;2501,3,4))*'Pricing and calculations'!$X$74),VLOOKUP("Build-out",BattenPriceTab,2,FALSE)*V78))</f>
        <v>0</v>
      </c>
    </row>
    <row r="79" spans="1:24" x14ac:dyDescent="0.2">
      <c r="A79" s="261">
        <v>5</v>
      </c>
      <c r="B79" s="945" t="str">
        <f t="shared" si="12"/>
        <v xml:space="preserve">Front Door Panels </v>
      </c>
      <c r="C79" s="960" t="b">
        <v>1</v>
      </c>
      <c r="D79" s="961" t="b">
        <f t="shared" si="13"/>
        <v>1</v>
      </c>
      <c r="E79" s="961" t="b">
        <f t="shared" si="14"/>
        <v>1</v>
      </c>
      <c r="F79" s="961" t="b">
        <f t="shared" si="14"/>
        <v>1</v>
      </c>
      <c r="G79" s="961" t="b">
        <f t="shared" si="14"/>
        <v>1</v>
      </c>
      <c r="H79" s="961" t="b">
        <v>0</v>
      </c>
      <c r="I79" s="961" t="b">
        <v>0</v>
      </c>
      <c r="J79" s="961" t="b">
        <v>0</v>
      </c>
      <c r="K79" s="961" t="b">
        <v>0</v>
      </c>
      <c r="L79" s="321">
        <f t="shared" si="15"/>
        <v>2</v>
      </c>
      <c r="M79" s="321">
        <f t="shared" si="16"/>
        <v>2</v>
      </c>
      <c r="N79" s="321">
        <f t="shared" si="17"/>
        <v>15</v>
      </c>
      <c r="O79" s="321">
        <f t="shared" si="11"/>
        <v>4</v>
      </c>
      <c r="P79" s="321">
        <f>IF(OR(B79=" ",ISNA(L79),ISNA(M79)),0,(((L79*'Purchase Order SCRAFT'!G11)+(M79*'Purchase Order SCRAFT'!F11))/1000))</f>
        <v>3.06</v>
      </c>
      <c r="Q79" s="321">
        <f>(E57*'Purchase Order SCRAFT'!G11)/1000</f>
        <v>0</v>
      </c>
      <c r="R79" s="321">
        <f>VLOOKUP('Purchase Order SCRAFT'!Q11,AdditionalFrameTab,2,FALSE)*1000</f>
        <v>0</v>
      </c>
      <c r="S79" s="336">
        <f>IF(OR(B79=" ",ISNA(L79),ISNA(M79),Form_Type="OP"),0,((((L79+E57)*'Purchase Order SCRAFT'!G11)+((M79+I57)*'Purchase Order SCRAFT'!F11))*((50+R79)*38))/1000^3)*V11</f>
        <v>5.8139999999999997E-3</v>
      </c>
      <c r="T79" s="336" t="str">
        <f>IF('Purchase Order SCRAFT'!$AE35="Partial","POA","")</f>
        <v/>
      </c>
      <c r="U79" s="336" t="str">
        <f>IF('Purchase Order SCRAFT'!$AE35="Partial","POA","")</f>
        <v/>
      </c>
      <c r="V79" s="264">
        <f>IF(OR('Purchase Order SCRAFT'!E59="All",'Purchase Order SCRAFT'!E59="Full"),((((P79+Q79)*1000)*'Purchase Order SCRAFT'!F59*38)/1000^3)*V11,IF('Purchase Order SCRAFT'!E59="Partial",(((U79*'Purchase Order SCRAFT'!F11*'Purchase Order SCRAFT'!D11*('Purchase Order SCRAFT'!F59*38)+(T79*'Purchase Order SCRAFT'!G11*'Purchase Order SCRAFT'!D11*('Purchase Order SCRAFT'!F59*38)))/1000^3)),0))</f>
        <v>0</v>
      </c>
      <c r="W79" s="265">
        <f ca="1">IF(AND('Purchase Order SCRAFT'!AE35="Partial",V79=0),"POA",IF(prefix="ss_",IF('Purchase Order SCRAFT'!AE35="No",0,IF('Purchase Order SCRAFT'!G11&lt;1501,2,IF('Purchase Order SCRAFT'!G11&lt;2501,3,4))*'Pricing and calculations'!$X$74),VLOOKUP("Build-out",BattenPriceTab,2,FALSE)*V79))</f>
        <v>0</v>
      </c>
    </row>
    <row r="80" spans="1:24" x14ac:dyDescent="0.2">
      <c r="A80" s="261">
        <v>6</v>
      </c>
      <c r="B80" s="945" t="str">
        <f t="shared" si="12"/>
        <v>Study</v>
      </c>
      <c r="C80" s="960" t="b">
        <v>0</v>
      </c>
      <c r="D80" s="961" t="b">
        <v>1</v>
      </c>
      <c r="E80" s="961" t="b">
        <f t="shared" si="14"/>
        <v>0</v>
      </c>
      <c r="F80" s="961" t="b">
        <v>1</v>
      </c>
      <c r="G80" s="961" t="b">
        <v>1</v>
      </c>
      <c r="H80" s="961" t="b">
        <v>0</v>
      </c>
      <c r="I80" s="961" t="b">
        <v>0</v>
      </c>
      <c r="J80" s="961" t="b">
        <v>0</v>
      </c>
      <c r="K80" s="961" t="b">
        <v>0</v>
      </c>
      <c r="L80" s="321">
        <f t="shared" si="15"/>
        <v>2</v>
      </c>
      <c r="M80" s="321">
        <f t="shared" si="16"/>
        <v>1</v>
      </c>
      <c r="N80" s="321">
        <f t="shared" si="17"/>
        <v>13</v>
      </c>
      <c r="O80" s="321">
        <f t="shared" si="11"/>
        <v>3</v>
      </c>
      <c r="P80" s="321">
        <f>IF(OR(B80=" ",ISNA(L80),ISNA(M80)),0,(((L80*'Purchase Order SCRAFT'!G12)+(M80*'Purchase Order SCRAFT'!F12))/1000))</f>
        <v>6.08</v>
      </c>
      <c r="Q80" s="321">
        <f>(E58*'Purchase Order SCRAFT'!G12)/1000</f>
        <v>0</v>
      </c>
      <c r="R80" s="321">
        <f>VLOOKUP('Purchase Order SCRAFT'!Q12,AdditionalFrameTab,2,FALSE)*1000</f>
        <v>0</v>
      </c>
      <c r="S80" s="336">
        <f>IF(OR(B80=" ",ISNA(L80),ISNA(M80),Form_Type="OP"),0,((((L80+E58)*'Purchase Order SCRAFT'!G12)+((M80+I58)*'Purchase Order SCRAFT'!F12))*((50+R80)*38))/1000^3)*V12</f>
        <v>1.1552E-2</v>
      </c>
      <c r="T80" s="336" t="str">
        <f>IF('Purchase Order SCRAFT'!$AE36="Partial","POA","")</f>
        <v/>
      </c>
      <c r="U80" s="336" t="str">
        <f>IF('Purchase Order SCRAFT'!$AE36="Partial","POA","")</f>
        <v/>
      </c>
      <c r="V80" s="264">
        <f>IF(OR('Purchase Order SCRAFT'!E60="All",'Purchase Order SCRAFT'!E60="Full"),((((P80+Q80)*1000)*'Purchase Order SCRAFT'!F60*38)/1000^3)*V12,IF('Purchase Order SCRAFT'!E60="Partial",(((U80*'Purchase Order SCRAFT'!F12*'Purchase Order SCRAFT'!D12*('Purchase Order SCRAFT'!F60*38)+(T80*'Purchase Order SCRAFT'!G12*'Purchase Order SCRAFT'!D12*('Purchase Order SCRAFT'!F60*38)))/1000^3)),0))</f>
        <v>0</v>
      </c>
      <c r="W80" s="265">
        <f ca="1">IF(AND('Purchase Order SCRAFT'!AE36="Partial",V80=0),"POA",IF(prefix="ss_",IF('Purchase Order SCRAFT'!AE36="No",0,IF('Purchase Order SCRAFT'!G12&lt;1501,2,IF('Purchase Order SCRAFT'!G12&lt;2501,3,4))*'Pricing and calculations'!$X$74),VLOOKUP("Build-out",BattenPriceTab,2,FALSE)*V80))</f>
        <v>0</v>
      </c>
    </row>
    <row r="81" spans="1:23" x14ac:dyDescent="0.2">
      <c r="A81" s="261">
        <v>7</v>
      </c>
      <c r="B81" s="945" t="str">
        <f t="shared" si="12"/>
        <v>Study</v>
      </c>
      <c r="C81" s="960" t="b">
        <v>0</v>
      </c>
      <c r="D81" s="961" t="b">
        <v>1</v>
      </c>
      <c r="E81" s="961" t="b">
        <f t="shared" si="14"/>
        <v>0</v>
      </c>
      <c r="F81" s="961" t="b">
        <v>1</v>
      </c>
      <c r="G81" s="961" t="b">
        <v>1</v>
      </c>
      <c r="H81" s="961" t="b">
        <v>0</v>
      </c>
      <c r="I81" s="961" t="b">
        <v>0</v>
      </c>
      <c r="J81" s="961" t="b">
        <v>0</v>
      </c>
      <c r="K81" s="961" t="b">
        <v>0</v>
      </c>
      <c r="L81" s="321">
        <f t="shared" si="15"/>
        <v>2</v>
      </c>
      <c r="M81" s="321">
        <f t="shared" si="16"/>
        <v>1</v>
      </c>
      <c r="N81" s="321">
        <f t="shared" si="17"/>
        <v>13</v>
      </c>
      <c r="O81" s="321">
        <f t="shared" si="11"/>
        <v>3</v>
      </c>
      <c r="P81" s="321">
        <f>IF(OR(B81=" ",ISNA(L81),ISNA(M81)),0,(((L81*'Purchase Order SCRAFT'!G13)+(M81*'Purchase Order SCRAFT'!F13))/1000))</f>
        <v>6.8</v>
      </c>
      <c r="Q81" s="321">
        <f>(E59*'Purchase Order SCRAFT'!G13)/1000</f>
        <v>0</v>
      </c>
      <c r="R81" s="321">
        <f>VLOOKUP('Purchase Order SCRAFT'!Q13,AdditionalFrameTab,2,FALSE)*1000</f>
        <v>0</v>
      </c>
      <c r="S81" s="336">
        <f>IF(OR(B81=" ",ISNA(L81),ISNA(M81),Form_Type="OP"),0,((((L81+E59)*'Purchase Order SCRAFT'!G13)+((M81+I59)*'Purchase Order SCRAFT'!F13))*((50+R81)*38))/1000^3)*V13</f>
        <v>1.2919999999999999E-2</v>
      </c>
      <c r="T81" s="336" t="str">
        <f>IF('Purchase Order SCRAFT'!$AE37="Partial","POA","")</f>
        <v/>
      </c>
      <c r="U81" s="336" t="str">
        <f>IF('Purchase Order SCRAFT'!$AE37="Partial","POA","")</f>
        <v/>
      </c>
      <c r="V81" s="264">
        <f>IF(OR('Purchase Order SCRAFT'!E61="All",'Purchase Order SCRAFT'!E61="Full"),((((P81+Q81)*1000)*'Purchase Order SCRAFT'!F61*38)/1000^3)*V13,IF('Purchase Order SCRAFT'!E61="Partial",(((U81*'Purchase Order SCRAFT'!F13*'Purchase Order SCRAFT'!D13*('Purchase Order SCRAFT'!F61*38)+(T81*'Purchase Order SCRAFT'!G13*'Purchase Order SCRAFT'!D13*('Purchase Order SCRAFT'!F61*38)))/1000^3)),0))</f>
        <v>0</v>
      </c>
      <c r="W81" s="265">
        <f ca="1">IF(AND('Purchase Order SCRAFT'!AE37="Partial",V81=0),"POA",IF(prefix="ss_",IF('Purchase Order SCRAFT'!AE37="No",0,IF('Purchase Order SCRAFT'!G13&lt;1501,2,IF('Purchase Order SCRAFT'!G13&lt;2501,3,4))*'Pricing and calculations'!$X$74),VLOOKUP("Build-out",BattenPriceTab,2,FALSE)*V81))</f>
        <v>0</v>
      </c>
    </row>
    <row r="82" spans="1:23" x14ac:dyDescent="0.2">
      <c r="A82" s="261">
        <v>8</v>
      </c>
      <c r="B82" s="945" t="str">
        <f t="shared" si="12"/>
        <v xml:space="preserve">Living Room </v>
      </c>
      <c r="C82" s="960" t="b">
        <v>1</v>
      </c>
      <c r="D82" s="961" t="b">
        <f t="shared" si="13"/>
        <v>1</v>
      </c>
      <c r="E82" s="961" t="b">
        <f t="shared" si="14"/>
        <v>1</v>
      </c>
      <c r="F82" s="961" t="b">
        <f t="shared" si="14"/>
        <v>1</v>
      </c>
      <c r="G82" s="961" t="b">
        <f t="shared" si="14"/>
        <v>1</v>
      </c>
      <c r="H82" s="961" t="b">
        <v>0</v>
      </c>
      <c r="I82" s="961" t="b">
        <v>0</v>
      </c>
      <c r="J82" s="961" t="b">
        <v>0</v>
      </c>
      <c r="K82" s="961" t="b">
        <v>0</v>
      </c>
      <c r="L82" s="321">
        <f t="shared" si="15"/>
        <v>2</v>
      </c>
      <c r="M82" s="321">
        <f t="shared" si="16"/>
        <v>2</v>
      </c>
      <c r="N82" s="321">
        <f t="shared" si="17"/>
        <v>15</v>
      </c>
      <c r="O82" s="321">
        <f t="shared" si="11"/>
        <v>4</v>
      </c>
      <c r="P82" s="321">
        <f>IF(OR(B82=" ",ISNA(L82),ISNA(M82)),0,(((L82*'Purchase Order SCRAFT'!G14)+(M82*'Purchase Order SCRAFT'!F14))/1000))</f>
        <v>7.06</v>
      </c>
      <c r="Q82" s="321">
        <f>(E60*'Purchase Order SCRAFT'!G14)/1000</f>
        <v>0</v>
      </c>
      <c r="R82" s="321">
        <f>VLOOKUP('Purchase Order SCRAFT'!Q14,AdditionalFrameTab,2,FALSE)*1000</f>
        <v>26.4</v>
      </c>
      <c r="S82" s="336">
        <f>IF(OR(B82=" ",ISNA(L82),ISNA(M82),Form_Type="OP"),0,((((L82+E60)*'Purchase Order SCRAFT'!G14)+((M82+I60)*'Purchase Order SCRAFT'!F14))*((50+R82)*38))/1000^3)*V14</f>
        <v>2.0496592000000004E-2</v>
      </c>
      <c r="T82" s="336" t="str">
        <f>IF('Purchase Order SCRAFT'!$AE38="Partial","POA","")</f>
        <v/>
      </c>
      <c r="U82" s="336" t="str">
        <f>IF('Purchase Order SCRAFT'!$AE38="Partial","POA","")</f>
        <v/>
      </c>
      <c r="V82" s="264">
        <f>IF(OR('Purchase Order SCRAFT'!E62="All",'Purchase Order SCRAFT'!E62="Full"),((((P82+Q82)*1000)*'Purchase Order SCRAFT'!F62*38)/1000^3)*V14,IF('Purchase Order SCRAFT'!E62="Partial",(((U82*'Purchase Order SCRAFT'!F14*'Purchase Order SCRAFT'!D14*('Purchase Order SCRAFT'!F62*38)+(T82*'Purchase Order SCRAFT'!G14*'Purchase Order SCRAFT'!D14*('Purchase Order SCRAFT'!F62*38)))/1000^3)),0))</f>
        <v>0</v>
      </c>
      <c r="W82" s="265">
        <f ca="1">IF(AND('Purchase Order SCRAFT'!AE38="Partial",V82=0),"POA",IF(prefix="ss_",IF('Purchase Order SCRAFT'!AE38="No",0,IF('Purchase Order SCRAFT'!G14&lt;1501,2,IF('Purchase Order SCRAFT'!G14&lt;2501,3,4))*'Pricing and calculations'!$X$74),VLOOKUP("Build-out",BattenPriceTab,2,FALSE)*V82))</f>
        <v>0</v>
      </c>
    </row>
    <row r="83" spans="1:23" x14ac:dyDescent="0.2">
      <c r="A83" s="261">
        <v>9</v>
      </c>
      <c r="B83" s="945" t="str">
        <f t="shared" si="12"/>
        <v>Utility</v>
      </c>
      <c r="C83" s="960" t="b">
        <v>1</v>
      </c>
      <c r="D83" s="961" t="b">
        <f t="shared" si="13"/>
        <v>1</v>
      </c>
      <c r="E83" s="961" t="b">
        <f t="shared" si="14"/>
        <v>1</v>
      </c>
      <c r="F83" s="961" t="b">
        <f t="shared" si="14"/>
        <v>1</v>
      </c>
      <c r="G83" s="961" t="b">
        <f t="shared" si="14"/>
        <v>1</v>
      </c>
      <c r="H83" s="961" t="b">
        <v>0</v>
      </c>
      <c r="I83" s="961" t="b">
        <v>0</v>
      </c>
      <c r="J83" s="961" t="b">
        <v>0</v>
      </c>
      <c r="K83" s="961" t="b">
        <v>0</v>
      </c>
      <c r="L83" s="321">
        <f t="shared" si="15"/>
        <v>2</v>
      </c>
      <c r="M83" s="321">
        <f t="shared" si="16"/>
        <v>2</v>
      </c>
      <c r="N83" s="321">
        <f t="shared" si="17"/>
        <v>15</v>
      </c>
      <c r="O83" s="321">
        <f t="shared" si="11"/>
        <v>4</v>
      </c>
      <c r="P83" s="321">
        <f>IF(OR(B83=" ",ISNA(L83),ISNA(M83)),0,(((L83*'Purchase Order SCRAFT'!G15)+(M83*'Purchase Order SCRAFT'!F15))/1000))</f>
        <v>4.5599999999999996</v>
      </c>
      <c r="Q83" s="321">
        <f>(E61*'Purchase Order SCRAFT'!G15)/1000</f>
        <v>0</v>
      </c>
      <c r="R83" s="321">
        <f>VLOOKUP('Purchase Order SCRAFT'!Q15,AdditionalFrameTab,2,FALSE)*1000</f>
        <v>0</v>
      </c>
      <c r="S83" s="336">
        <f>IF(OR(B83=" ",ISNA(L83),ISNA(M83),Form_Type="OP"),0,((((L83+E61)*'Purchase Order SCRAFT'!G15)+((M83+I61)*'Purchase Order SCRAFT'!F15))*((50+R83)*38))/1000^3)*V15</f>
        <v>8.6639999999999998E-3</v>
      </c>
      <c r="T83" s="336" t="str">
        <f>IF('Purchase Order SCRAFT'!$AE39="Partial","POA","")</f>
        <v/>
      </c>
      <c r="U83" s="336" t="str">
        <f>IF('Purchase Order SCRAFT'!$AE39="Partial","POA","")</f>
        <v/>
      </c>
      <c r="V83" s="264">
        <f>IF(OR('Purchase Order SCRAFT'!E63="All",'Purchase Order SCRAFT'!E63="Full"),((((P83+Q83)*1000)*'Purchase Order SCRAFT'!F63*38)/1000^3)*V15,IF('Purchase Order SCRAFT'!E63="Partial",(((U83*'Purchase Order SCRAFT'!F15*'Purchase Order SCRAFT'!D15*('Purchase Order SCRAFT'!F63*38)+(T83*'Purchase Order SCRAFT'!G15*'Purchase Order SCRAFT'!D15*('Purchase Order SCRAFT'!F63*38)))/1000^3)),0))</f>
        <v>0</v>
      </c>
      <c r="W83" s="265">
        <f ca="1">IF(AND('Purchase Order SCRAFT'!AE39="Partial",V83=0),"POA",IF(prefix="ss_",IF('Purchase Order SCRAFT'!AE39="No",0,IF('Purchase Order SCRAFT'!G15&lt;1501,2,IF('Purchase Order SCRAFT'!G15&lt;2501,3,4))*'Pricing and calculations'!$X$74),VLOOKUP("Build-out",BattenPriceTab,2,FALSE)*V83))</f>
        <v>0</v>
      </c>
    </row>
    <row r="84" spans="1:23" x14ac:dyDescent="0.2">
      <c r="A84" s="261">
        <v>10</v>
      </c>
      <c r="B84" s="945" t="str">
        <f t="shared" si="12"/>
        <v xml:space="preserve"> </v>
      </c>
      <c r="C84" s="960" t="b">
        <v>0</v>
      </c>
      <c r="D84" s="961" t="b">
        <f t="shared" si="13"/>
        <v>0</v>
      </c>
      <c r="E84" s="961" t="b">
        <f t="shared" si="14"/>
        <v>0</v>
      </c>
      <c r="F84" s="961" t="b">
        <f t="shared" si="14"/>
        <v>0</v>
      </c>
      <c r="G84" s="961" t="b">
        <f t="shared" si="14"/>
        <v>0</v>
      </c>
      <c r="H84" s="961" t="b">
        <v>0</v>
      </c>
      <c r="I84" s="961" t="b">
        <v>0</v>
      </c>
      <c r="J84" s="961" t="b">
        <v>0</v>
      </c>
      <c r="K84" s="961" t="b">
        <v>0</v>
      </c>
      <c r="L84" s="321">
        <f t="shared" si="15"/>
        <v>0</v>
      </c>
      <c r="M84" s="321">
        <f t="shared" si="16"/>
        <v>0</v>
      </c>
      <c r="N84" s="321">
        <f t="shared" si="17"/>
        <v>0</v>
      </c>
      <c r="O84" s="321">
        <f t="shared" si="11"/>
        <v>0</v>
      </c>
      <c r="P84" s="321">
        <f>IF(OR(B84=" ",ISNA(L84),ISNA(M84)),0,(((L84*'Purchase Order SCRAFT'!G16)+(M84*'Purchase Order SCRAFT'!F16))/1000))</f>
        <v>0</v>
      </c>
      <c r="Q84" s="321">
        <f>(E62*'Purchase Order SCRAFT'!G16)/1000</f>
        <v>0</v>
      </c>
      <c r="R84" s="321" t="e">
        <f>VLOOKUP('Purchase Order SCRAFT'!Q16,AdditionalFrameTab,2,FALSE)*1000</f>
        <v>#N/A</v>
      </c>
      <c r="S84" s="336">
        <f>IF(OR(B84=" ",ISNA(L84),ISNA(M84),Form_Type="OP"),0,((((L84+E62)*'Purchase Order SCRAFT'!G16)+((M84+I62)*'Purchase Order SCRAFT'!F16))*((50+R84)*38))/1000^3)*V16</f>
        <v>0</v>
      </c>
      <c r="T84" s="336" t="str">
        <f>IF('Purchase Order SCRAFT'!$AE40="Partial","POA","")</f>
        <v/>
      </c>
      <c r="U84" s="336" t="str">
        <f>IF('Purchase Order SCRAFT'!$AE40="Partial","POA","")</f>
        <v/>
      </c>
      <c r="V84" s="264">
        <f>IF(OR('Purchase Order SCRAFT'!E64="All",'Purchase Order SCRAFT'!E64="Full"),((((P84+Q84)*1000)*'Purchase Order SCRAFT'!F64*38)/1000^3)*V16,IF('Purchase Order SCRAFT'!E64="Partial",(((U84*'Purchase Order SCRAFT'!F16*'Purchase Order SCRAFT'!D16*('Purchase Order SCRAFT'!F64*38)+(T84*'Purchase Order SCRAFT'!G16*'Purchase Order SCRAFT'!D16*('Purchase Order SCRAFT'!F64*38)))/1000^3)),0))</f>
        <v>0</v>
      </c>
      <c r="W84" s="265">
        <f ca="1">IF(AND('Purchase Order SCRAFT'!AE40="Partial",V84=0),"POA",IF(prefix="ss_",IF('Purchase Order SCRAFT'!AE40="No",0,IF('Purchase Order SCRAFT'!G16&lt;1501,2,IF('Purchase Order SCRAFT'!G16&lt;2501,3,4))*'Pricing and calculations'!$X$74),VLOOKUP("Build-out",BattenPriceTab,2,FALSE)*V84))</f>
        <v>0</v>
      </c>
    </row>
    <row r="85" spans="1:23" x14ac:dyDescent="0.2">
      <c r="A85" s="261">
        <v>11</v>
      </c>
      <c r="B85" s="945" t="str">
        <f t="shared" si="12"/>
        <v xml:space="preserve"> </v>
      </c>
      <c r="C85" s="960" t="b">
        <v>0</v>
      </c>
      <c r="D85" s="961" t="b">
        <f t="shared" si="13"/>
        <v>0</v>
      </c>
      <c r="E85" s="961" t="b">
        <f t="shared" si="14"/>
        <v>0</v>
      </c>
      <c r="F85" s="961" t="b">
        <f t="shared" si="14"/>
        <v>0</v>
      </c>
      <c r="G85" s="961" t="b">
        <f t="shared" si="14"/>
        <v>0</v>
      </c>
      <c r="H85" s="961" t="b">
        <v>0</v>
      </c>
      <c r="I85" s="961" t="b">
        <v>0</v>
      </c>
      <c r="J85" s="961" t="b">
        <v>0</v>
      </c>
      <c r="K85" s="961" t="b">
        <v>0</v>
      </c>
      <c r="L85" s="321">
        <f t="shared" si="15"/>
        <v>0</v>
      </c>
      <c r="M85" s="321">
        <f t="shared" si="16"/>
        <v>0</v>
      </c>
      <c r="N85" s="321">
        <f t="shared" si="17"/>
        <v>0</v>
      </c>
      <c r="O85" s="321">
        <f t="shared" si="11"/>
        <v>0</v>
      </c>
      <c r="P85" s="321">
        <f>IF(OR(B85=" ",ISNA(L85),ISNA(M85)),0,(((L85*'Purchase Order SCRAFT'!G17)+(M85*'Purchase Order SCRAFT'!F17))/1000))</f>
        <v>0</v>
      </c>
      <c r="Q85" s="321">
        <f>(E63*'Purchase Order SCRAFT'!G17)/1000</f>
        <v>0</v>
      </c>
      <c r="R85" s="321" t="e">
        <f>VLOOKUP('Purchase Order SCRAFT'!Q17,AdditionalFrameTab,2,FALSE)*1000</f>
        <v>#N/A</v>
      </c>
      <c r="S85" s="336">
        <f>IF(OR(B85=" ",ISNA(L85),ISNA(M85),Form_Type="OP"),0,((((L85+E63)*'Purchase Order SCRAFT'!G17)+((M85+I63)*'Purchase Order SCRAFT'!F17))*((50+R85)*38))/1000^3)*V17</f>
        <v>0</v>
      </c>
      <c r="T85" s="336" t="str">
        <f>IF('Purchase Order SCRAFT'!$AE41="Partial","POA","")</f>
        <v/>
      </c>
      <c r="U85" s="336" t="str">
        <f>IF('Purchase Order SCRAFT'!$AE41="Partial","POA","")</f>
        <v/>
      </c>
      <c r="V85" s="264">
        <f>IF(OR('Purchase Order SCRAFT'!E65="All",'Purchase Order SCRAFT'!E65="Full"),((((P85+Q85)*1000)*'Purchase Order SCRAFT'!F65*38)/1000^3)*V17,IF('Purchase Order SCRAFT'!E65="Partial",(((U85*'Purchase Order SCRAFT'!F17*'Purchase Order SCRAFT'!D17*('Purchase Order SCRAFT'!F65*38)+(T85*'Purchase Order SCRAFT'!G17*'Purchase Order SCRAFT'!D17*('Purchase Order SCRAFT'!F65*38)))/1000^3)),0))</f>
        <v>0</v>
      </c>
      <c r="W85" s="265">
        <f ca="1">IF(AND('Purchase Order SCRAFT'!AE41="Partial",V85=0),"POA",IF(prefix="ss_",IF('Purchase Order SCRAFT'!AE41="No",0,IF('Purchase Order SCRAFT'!G17&lt;1501,2,IF('Purchase Order SCRAFT'!G17&lt;2501,3,4))*'Pricing and calculations'!$X$74),VLOOKUP("Build-out",BattenPriceTab,2,FALSE)*V85))</f>
        <v>0</v>
      </c>
    </row>
    <row r="86" spans="1:23" x14ac:dyDescent="0.2">
      <c r="A86" s="261">
        <v>12</v>
      </c>
      <c r="B86" s="945" t="str">
        <f t="shared" si="12"/>
        <v xml:space="preserve"> </v>
      </c>
      <c r="C86" s="960" t="b">
        <v>0</v>
      </c>
      <c r="D86" s="961" t="b">
        <f t="shared" si="13"/>
        <v>0</v>
      </c>
      <c r="E86" s="961" t="b">
        <f t="shared" si="14"/>
        <v>0</v>
      </c>
      <c r="F86" s="961" t="b">
        <f t="shared" si="14"/>
        <v>0</v>
      </c>
      <c r="G86" s="961" t="b">
        <f t="shared" si="14"/>
        <v>0</v>
      </c>
      <c r="H86" s="961" t="b">
        <v>0</v>
      </c>
      <c r="I86" s="961" t="b">
        <v>0</v>
      </c>
      <c r="J86" s="961" t="b">
        <v>0</v>
      </c>
      <c r="K86" s="961" t="b">
        <v>0</v>
      </c>
      <c r="L86" s="321">
        <f t="shared" si="15"/>
        <v>0</v>
      </c>
      <c r="M86" s="321">
        <f t="shared" si="16"/>
        <v>0</v>
      </c>
      <c r="N86" s="321">
        <f t="shared" si="17"/>
        <v>0</v>
      </c>
      <c r="O86" s="321">
        <f t="shared" si="11"/>
        <v>0</v>
      </c>
      <c r="P86" s="321">
        <f>IF(OR(B86=" ",ISNA(L86),ISNA(M86)),0,(((L86*'Purchase Order SCRAFT'!G18)+(M86*'Purchase Order SCRAFT'!F18))/1000))</f>
        <v>0</v>
      </c>
      <c r="Q86" s="321">
        <f>(E64*'Purchase Order SCRAFT'!G18)/1000</f>
        <v>0</v>
      </c>
      <c r="R86" s="321" t="e">
        <f>VLOOKUP('Purchase Order SCRAFT'!Q18,AdditionalFrameTab,2,FALSE)*1000</f>
        <v>#N/A</v>
      </c>
      <c r="S86" s="336">
        <f>IF(OR(B86=" ",ISNA(L86),ISNA(M86),Form_Type="OP"),0,((((L86+E64)*'Purchase Order SCRAFT'!G18)+((M86+I64)*'Purchase Order SCRAFT'!F18))*((50+R86)*38))/1000^3)*V18</f>
        <v>0</v>
      </c>
      <c r="T86" s="336" t="str">
        <f>IF('Purchase Order SCRAFT'!$AE42="Partial","POA","")</f>
        <v/>
      </c>
      <c r="U86" s="336" t="str">
        <f>IF('Purchase Order SCRAFT'!$AE42="Partial","POA","")</f>
        <v/>
      </c>
      <c r="V86" s="264">
        <f>IF(OR('Purchase Order SCRAFT'!E66="All",'Purchase Order SCRAFT'!E66="Full"),((((P86+Q86)*1000)*'Purchase Order SCRAFT'!F66*38)/1000^3)*V18,IF('Purchase Order SCRAFT'!E66="Partial",(((U86*'Purchase Order SCRAFT'!F18*'Purchase Order SCRAFT'!D18*('Purchase Order SCRAFT'!F66*38)+(T86*'Purchase Order SCRAFT'!G18*'Purchase Order SCRAFT'!D18*('Purchase Order SCRAFT'!F66*38)))/1000^3)),0))</f>
        <v>0</v>
      </c>
      <c r="W86" s="265">
        <f ca="1">IF(AND('Purchase Order SCRAFT'!AE42="Partial",V86=0),"POA",IF(prefix="ss_",IF('Purchase Order SCRAFT'!AE42="No",0,IF('Purchase Order SCRAFT'!G18&lt;1501,2,IF('Purchase Order SCRAFT'!G18&lt;2501,3,4))*'Pricing and calculations'!$X$74),VLOOKUP("Build-out",BattenPriceTab,2,FALSE)*V86))</f>
        <v>0</v>
      </c>
    </row>
    <row r="87" spans="1:23" x14ac:dyDescent="0.2">
      <c r="A87" s="261">
        <v>13</v>
      </c>
      <c r="B87" s="945" t="str">
        <f t="shared" si="12"/>
        <v xml:space="preserve"> </v>
      </c>
      <c r="C87" s="960" t="b">
        <v>0</v>
      </c>
      <c r="D87" s="961" t="b">
        <f t="shared" si="13"/>
        <v>0</v>
      </c>
      <c r="E87" s="961" t="b">
        <f t="shared" si="14"/>
        <v>0</v>
      </c>
      <c r="F87" s="961" t="b">
        <f t="shared" si="14"/>
        <v>0</v>
      </c>
      <c r="G87" s="961" t="b">
        <f t="shared" si="14"/>
        <v>0</v>
      </c>
      <c r="H87" s="961" t="b">
        <v>0</v>
      </c>
      <c r="I87" s="961" t="b">
        <v>0</v>
      </c>
      <c r="J87" s="961" t="b">
        <v>0</v>
      </c>
      <c r="K87" s="961" t="b">
        <v>0</v>
      </c>
      <c r="L87" s="321">
        <f t="shared" si="15"/>
        <v>0</v>
      </c>
      <c r="M87" s="321">
        <f t="shared" si="16"/>
        <v>0</v>
      </c>
      <c r="N87" s="321">
        <f t="shared" si="17"/>
        <v>0</v>
      </c>
      <c r="O87" s="321">
        <f t="shared" si="11"/>
        <v>0</v>
      </c>
      <c r="P87" s="321">
        <f>IF(OR(B87=" ",ISNA(L87),ISNA(M87)),0,(((L87*'Purchase Order SCRAFT'!G19)+(M87*'Purchase Order SCRAFT'!F19))/1000))</f>
        <v>0</v>
      </c>
      <c r="Q87" s="321">
        <f>(E65*'Purchase Order SCRAFT'!G19)/1000</f>
        <v>0</v>
      </c>
      <c r="R87" s="321" t="e">
        <f>VLOOKUP('Purchase Order SCRAFT'!Q19,AdditionalFrameTab,2,FALSE)*1000</f>
        <v>#N/A</v>
      </c>
      <c r="S87" s="336">
        <f>IF(OR(B87=" ",ISNA(L87),ISNA(M87),Form_Type="OP"),0,((((L87+E65)*'Purchase Order SCRAFT'!G19)+((M87+I65)*'Purchase Order SCRAFT'!F19))*((50+R87)*38))/1000^3)*V19</f>
        <v>0</v>
      </c>
      <c r="T87" s="336" t="str">
        <f>IF('Purchase Order SCRAFT'!$AE43="Partial","POA","")</f>
        <v/>
      </c>
      <c r="U87" s="336" t="str">
        <f>IF('Purchase Order SCRAFT'!$AE43="Partial","POA","")</f>
        <v/>
      </c>
      <c r="V87" s="264">
        <f>IF(OR('Purchase Order SCRAFT'!E67="All",'Purchase Order SCRAFT'!E67="Full"),((((P87+Q87)*1000)*'Purchase Order SCRAFT'!F67*38)/1000^3)*V19,IF('Purchase Order SCRAFT'!E67="Partial",(((U87*'Purchase Order SCRAFT'!F19*'Purchase Order SCRAFT'!D19*('Purchase Order SCRAFT'!F67*38)+(T87*'Purchase Order SCRAFT'!G19*'Purchase Order SCRAFT'!D19*('Purchase Order SCRAFT'!F67*38)))/1000^3)),0))</f>
        <v>0</v>
      </c>
      <c r="W87" s="265">
        <f ca="1">IF(AND('Purchase Order SCRAFT'!AE43="Partial",V87=0),"POA",IF(prefix="ss_",IF('Purchase Order SCRAFT'!AE43="No",0,IF('Purchase Order SCRAFT'!G19&lt;1501,2,IF('Purchase Order SCRAFT'!G19&lt;2501,3,4))*'Pricing and calculations'!$X$74),VLOOKUP("Build-out",BattenPriceTab,2,FALSE)*V87))</f>
        <v>0</v>
      </c>
    </row>
    <row r="88" spans="1:23" x14ac:dyDescent="0.2">
      <c r="A88" s="261">
        <v>14</v>
      </c>
      <c r="B88" s="945" t="str">
        <f t="shared" si="12"/>
        <v xml:space="preserve"> </v>
      </c>
      <c r="C88" s="960" t="b">
        <v>0</v>
      </c>
      <c r="D88" s="961" t="b">
        <f t="shared" si="13"/>
        <v>0</v>
      </c>
      <c r="E88" s="961" t="b">
        <f t="shared" si="14"/>
        <v>0</v>
      </c>
      <c r="F88" s="961" t="b">
        <f t="shared" si="14"/>
        <v>0</v>
      </c>
      <c r="G88" s="961" t="b">
        <f t="shared" si="14"/>
        <v>0</v>
      </c>
      <c r="H88" s="961" t="b">
        <v>0</v>
      </c>
      <c r="I88" s="961" t="b">
        <v>0</v>
      </c>
      <c r="J88" s="961" t="b">
        <v>0</v>
      </c>
      <c r="K88" s="961" t="b">
        <v>0</v>
      </c>
      <c r="L88" s="321">
        <f t="shared" si="15"/>
        <v>0</v>
      </c>
      <c r="M88" s="321">
        <f t="shared" si="16"/>
        <v>0</v>
      </c>
      <c r="N88" s="321">
        <f t="shared" si="17"/>
        <v>0</v>
      </c>
      <c r="O88" s="321">
        <f t="shared" si="11"/>
        <v>0</v>
      </c>
      <c r="P88" s="321">
        <f>IF(OR(B88=" ",ISNA(L88),ISNA(M88)),0,(((L88*'Purchase Order SCRAFT'!G20)+(M88*'Purchase Order SCRAFT'!F20))/1000))</f>
        <v>0</v>
      </c>
      <c r="Q88" s="321">
        <f>(E66*'Purchase Order SCRAFT'!G20)/1000</f>
        <v>0</v>
      </c>
      <c r="R88" s="321" t="e">
        <f>VLOOKUP('Purchase Order SCRAFT'!Q20,AdditionalFrameTab,2,FALSE)*1000</f>
        <v>#N/A</v>
      </c>
      <c r="S88" s="336">
        <f>IF(OR(B88=" ",ISNA(L88),ISNA(M88),Form_Type="OP"),0,((((L88+E66)*'Purchase Order SCRAFT'!G20)+((M88+I66)*'Purchase Order SCRAFT'!F20))*((50+R88)*38))/1000^3)*V20</f>
        <v>0</v>
      </c>
      <c r="T88" s="336" t="str">
        <f>IF('Purchase Order SCRAFT'!$AE44="Partial","POA","")</f>
        <v/>
      </c>
      <c r="U88" s="336" t="str">
        <f>IF('Purchase Order SCRAFT'!$AE44="Partial","POA","")</f>
        <v/>
      </c>
      <c r="V88" s="264">
        <f>IF(OR('Purchase Order SCRAFT'!E68="All",'Purchase Order SCRAFT'!E68="Full"),((((P88+Q88)*1000)*'Purchase Order SCRAFT'!F68*38)/1000^3)*V20,IF('Purchase Order SCRAFT'!E68="Partial",(((U88*'Purchase Order SCRAFT'!F20*'Purchase Order SCRAFT'!D20*('Purchase Order SCRAFT'!F68*38)+(T88*'Purchase Order SCRAFT'!G20*'Purchase Order SCRAFT'!D20*('Purchase Order SCRAFT'!F68*38)))/1000^3)),0))</f>
        <v>0</v>
      </c>
      <c r="W88" s="265">
        <f ca="1">IF(AND('Purchase Order SCRAFT'!AE44="Partial",V88=0),"POA",IF(prefix="ss_",IF('Purchase Order SCRAFT'!AE44="No",0,IF('Purchase Order SCRAFT'!G20&lt;1501,2,IF('Purchase Order SCRAFT'!G20&lt;2501,3,4))*'Pricing and calculations'!$X$74),VLOOKUP("Build-out",BattenPriceTab,2,FALSE)*V88))</f>
        <v>0</v>
      </c>
    </row>
    <row r="89" spans="1:23" x14ac:dyDescent="0.2">
      <c r="A89" s="261">
        <v>15</v>
      </c>
      <c r="B89" s="945" t="str">
        <f t="shared" si="12"/>
        <v xml:space="preserve"> </v>
      </c>
      <c r="C89" s="960" t="b">
        <v>0</v>
      </c>
      <c r="D89" s="961" t="b">
        <f t="shared" si="13"/>
        <v>0</v>
      </c>
      <c r="E89" s="961" t="b">
        <f t="shared" si="14"/>
        <v>0</v>
      </c>
      <c r="F89" s="961" t="b">
        <f t="shared" si="14"/>
        <v>0</v>
      </c>
      <c r="G89" s="961" t="b">
        <f t="shared" si="14"/>
        <v>0</v>
      </c>
      <c r="H89" s="961" t="b">
        <v>0</v>
      </c>
      <c r="I89" s="961" t="b">
        <v>0</v>
      </c>
      <c r="J89" s="961" t="b">
        <v>0</v>
      </c>
      <c r="K89" s="961" t="b">
        <v>0</v>
      </c>
      <c r="L89" s="321">
        <f t="shared" si="15"/>
        <v>0</v>
      </c>
      <c r="M89" s="321">
        <f t="shared" si="16"/>
        <v>0</v>
      </c>
      <c r="N89" s="321">
        <f t="shared" si="17"/>
        <v>0</v>
      </c>
      <c r="O89" s="321">
        <f t="shared" si="11"/>
        <v>0</v>
      </c>
      <c r="P89" s="321">
        <f>IF(OR(B89=" ",ISNA(L89),ISNA(M89)),0,(((L89*'Purchase Order SCRAFT'!G21)+(M89*'Purchase Order SCRAFT'!F21))/1000))</f>
        <v>0</v>
      </c>
      <c r="Q89" s="321">
        <f>(E67*'Purchase Order SCRAFT'!G21)/1000</f>
        <v>0</v>
      </c>
      <c r="R89" s="321" t="e">
        <f>VLOOKUP('Purchase Order SCRAFT'!Q21,AdditionalFrameTab,2,FALSE)*1000</f>
        <v>#N/A</v>
      </c>
      <c r="S89" s="336">
        <f>IF(OR(B89=" ",ISNA(L89),ISNA(M89),Form_Type="OP"),0,((((L89+E67)*'Purchase Order SCRAFT'!G21)+((M89+I67)*'Purchase Order SCRAFT'!F21))*((50+R89)*38))/1000^3)*V21</f>
        <v>0</v>
      </c>
      <c r="T89" s="336" t="str">
        <f>IF('Purchase Order SCRAFT'!$AE45="Partial","POA","")</f>
        <v/>
      </c>
      <c r="U89" s="336" t="str">
        <f>IF('Purchase Order SCRAFT'!$AE45="Partial","POA","")</f>
        <v/>
      </c>
      <c r="V89" s="264">
        <f>IF(OR('Purchase Order SCRAFT'!E69="All",'Purchase Order SCRAFT'!E69="Full"),((((P89+Q89)*1000)*'Purchase Order SCRAFT'!F69*38)/1000^3)*V21,IF('Purchase Order SCRAFT'!E69="Partial",(((U89*'Purchase Order SCRAFT'!F21*'Purchase Order SCRAFT'!D21*('Purchase Order SCRAFT'!F69*38)+(T89*'Purchase Order SCRAFT'!G21*'Purchase Order SCRAFT'!D21*('Purchase Order SCRAFT'!F69*38)))/1000^3)),0))</f>
        <v>0</v>
      </c>
      <c r="W89" s="265">
        <f ca="1">IF(AND('Purchase Order SCRAFT'!AE45="Partial",V89=0),"POA",IF(prefix="ss_",IF('Purchase Order SCRAFT'!AE45="No",0,IF('Purchase Order SCRAFT'!G21&lt;1501,2,IF('Purchase Order SCRAFT'!G21&lt;2501,3,4))*'Pricing and calculations'!$X$74),VLOOKUP("Build-out",BattenPriceTab,2,FALSE)*V89))</f>
        <v>0</v>
      </c>
    </row>
    <row r="90" spans="1:23" x14ac:dyDescent="0.2">
      <c r="A90" s="261">
        <v>16</v>
      </c>
      <c r="B90" s="945" t="str">
        <f t="shared" si="12"/>
        <v xml:space="preserve"> </v>
      </c>
      <c r="C90" s="960" t="b">
        <v>0</v>
      </c>
      <c r="D90" s="961" t="b">
        <f t="shared" si="13"/>
        <v>0</v>
      </c>
      <c r="E90" s="961" t="b">
        <f t="shared" si="14"/>
        <v>0</v>
      </c>
      <c r="F90" s="961" t="b">
        <f t="shared" si="14"/>
        <v>0</v>
      </c>
      <c r="G90" s="961" t="b">
        <f t="shared" si="14"/>
        <v>0</v>
      </c>
      <c r="H90" s="961" t="b">
        <v>0</v>
      </c>
      <c r="I90" s="961" t="b">
        <v>0</v>
      </c>
      <c r="J90" s="961" t="b">
        <v>0</v>
      </c>
      <c r="K90" s="961" t="b">
        <v>0</v>
      </c>
      <c r="L90" s="321">
        <f t="shared" si="15"/>
        <v>0</v>
      </c>
      <c r="M90" s="321">
        <f t="shared" si="16"/>
        <v>0</v>
      </c>
      <c r="N90" s="321">
        <f t="shared" si="17"/>
        <v>0</v>
      </c>
      <c r="O90" s="321">
        <f t="shared" si="11"/>
        <v>0</v>
      </c>
      <c r="P90" s="321">
        <f>IF(OR(B90=" ",ISNA(L90),ISNA(M90)),0,(((L90*'Purchase Order SCRAFT'!G22)+(M90*'Purchase Order SCRAFT'!F22))/1000))</f>
        <v>0</v>
      </c>
      <c r="Q90" s="321">
        <f>(E68*'Purchase Order SCRAFT'!G22)/1000</f>
        <v>0</v>
      </c>
      <c r="R90" s="321" t="e">
        <f>VLOOKUP('Purchase Order SCRAFT'!Q22,AdditionalFrameTab,2,FALSE)*1000</f>
        <v>#N/A</v>
      </c>
      <c r="S90" s="336">
        <f>IF(OR(B90=" ",ISNA(L90),ISNA(M90),Form_Type="OP"),0,((((L90+E68)*'Purchase Order SCRAFT'!G22)+((M90+I68)*'Purchase Order SCRAFT'!F22))*((50+R90)*38))/1000^3)*V22</f>
        <v>0</v>
      </c>
      <c r="T90" s="336" t="str">
        <f>IF('Purchase Order SCRAFT'!$AE46="Partial","POA","")</f>
        <v/>
      </c>
      <c r="U90" s="336" t="str">
        <f>IF('Purchase Order SCRAFT'!$AE46="Partial","POA","")</f>
        <v/>
      </c>
      <c r="V90" s="264">
        <f>IF(OR('Purchase Order SCRAFT'!E70="All",'Purchase Order SCRAFT'!E70="Full"),((((P90+Q90)*1000)*'Purchase Order SCRAFT'!F70*38)/1000^3)*V22,IF('Purchase Order SCRAFT'!E70="Partial",(((U90*'Purchase Order SCRAFT'!F22*'Purchase Order SCRAFT'!D22*('Purchase Order SCRAFT'!F70*38)+(T90*'Purchase Order SCRAFT'!G22*'Purchase Order SCRAFT'!D22*('Purchase Order SCRAFT'!F70*38)))/1000^3)),0))</f>
        <v>0</v>
      </c>
      <c r="W90" s="265">
        <f ca="1">IF(AND('Purchase Order SCRAFT'!AE46="Partial",V90=0),"POA",IF(prefix="ss_",IF('Purchase Order SCRAFT'!AE46="No",0,IF('Purchase Order SCRAFT'!G22&lt;1501,2,IF('Purchase Order SCRAFT'!G22&lt;2501,3,4))*'Pricing and calculations'!$X$74),VLOOKUP("Build-out",BattenPriceTab,2,FALSE)*V90))</f>
        <v>0</v>
      </c>
    </row>
    <row r="91" spans="1:23" x14ac:dyDescent="0.2">
      <c r="A91" s="261">
        <v>17</v>
      </c>
      <c r="B91" s="945" t="str">
        <f t="shared" si="12"/>
        <v xml:space="preserve"> </v>
      </c>
      <c r="C91" s="960" t="b">
        <v>0</v>
      </c>
      <c r="D91" s="961" t="b">
        <f t="shared" si="13"/>
        <v>0</v>
      </c>
      <c r="E91" s="961" t="b">
        <f t="shared" ref="E91:G94" si="18">IF(AND($C91,I91=FALSE),TRUE,FALSE)</f>
        <v>0</v>
      </c>
      <c r="F91" s="961" t="b">
        <f t="shared" si="18"/>
        <v>0</v>
      </c>
      <c r="G91" s="961" t="b">
        <f t="shared" si="18"/>
        <v>0</v>
      </c>
      <c r="H91" s="961" t="b">
        <v>0</v>
      </c>
      <c r="I91" s="961" t="b">
        <v>0</v>
      </c>
      <c r="J91" s="961" t="b">
        <v>0</v>
      </c>
      <c r="K91" s="961" t="b">
        <v>0</v>
      </c>
      <c r="L91" s="321">
        <f t="shared" si="15"/>
        <v>0</v>
      </c>
      <c r="M91" s="321">
        <f t="shared" si="16"/>
        <v>0</v>
      </c>
      <c r="N91" s="321">
        <f t="shared" si="17"/>
        <v>0</v>
      </c>
      <c r="O91" s="321">
        <f t="shared" si="11"/>
        <v>0</v>
      </c>
      <c r="P91" s="321">
        <f>IF(OR(B91=" ",ISNA(L91),ISNA(M91)),0,(((L91*'Purchase Order SCRAFT'!G23)+(M91*'Purchase Order SCRAFT'!F23))/1000))</f>
        <v>0</v>
      </c>
      <c r="Q91" s="321">
        <f>(E69*'Purchase Order SCRAFT'!G23)/1000</f>
        <v>0</v>
      </c>
      <c r="R91" s="321" t="e">
        <f>VLOOKUP('Purchase Order SCRAFT'!Q23,AdditionalFrameTab,2,FALSE)*1000</f>
        <v>#N/A</v>
      </c>
      <c r="S91" s="336">
        <f>IF(OR(B91=" ",ISNA(L91),ISNA(M91),Form_Type="OP"),0,((((L91+E69)*'Purchase Order SCRAFT'!G23)+((M91+I69)*'Purchase Order SCRAFT'!F23))*((50+R91)*38))/1000^3)*V23</f>
        <v>0</v>
      </c>
      <c r="T91" s="336" t="str">
        <f>IF('Purchase Order SCRAFT'!$AE47="Partial","POA","")</f>
        <v/>
      </c>
      <c r="U91" s="336" t="str">
        <f>IF('Purchase Order SCRAFT'!$AE47="Partial","POA","")</f>
        <v/>
      </c>
      <c r="V91" s="264">
        <f>IF(OR('Purchase Order SCRAFT'!E71="All",'Purchase Order SCRAFT'!E71="Full"),((((P91+Q91)*1000)*'Purchase Order SCRAFT'!F71*38)/1000^3)*V23,IF('Purchase Order SCRAFT'!E71="Partial",(((U91*'Purchase Order SCRAFT'!F23*'Purchase Order SCRAFT'!D23*('Purchase Order SCRAFT'!F71*38)+(T91*'Purchase Order SCRAFT'!G23*'Purchase Order SCRAFT'!D23*('Purchase Order SCRAFT'!F71*38)))/1000^3)),0))</f>
        <v>0</v>
      </c>
      <c r="W91" s="265">
        <f ca="1">IF(AND('Purchase Order SCRAFT'!AE47="Partial",V91=0),"POA",IF(prefix="ss_",IF('Purchase Order SCRAFT'!AE47="No",0,IF('Purchase Order SCRAFT'!G23&lt;1501,2,IF('Purchase Order SCRAFT'!G23&lt;2501,3,4))*'Pricing and calculations'!$X$74),VLOOKUP("Build-out",BattenPriceTab,2,FALSE)*V91))</f>
        <v>0</v>
      </c>
    </row>
    <row r="92" spans="1:23" x14ac:dyDescent="0.2">
      <c r="A92" s="261">
        <v>18</v>
      </c>
      <c r="B92" s="945" t="str">
        <f t="shared" si="12"/>
        <v xml:space="preserve"> </v>
      </c>
      <c r="C92" s="960" t="b">
        <v>0</v>
      </c>
      <c r="D92" s="961" t="b">
        <f t="shared" si="13"/>
        <v>0</v>
      </c>
      <c r="E92" s="961" t="b">
        <f t="shared" si="18"/>
        <v>0</v>
      </c>
      <c r="F92" s="961" t="b">
        <f t="shared" si="18"/>
        <v>0</v>
      </c>
      <c r="G92" s="961" t="b">
        <f t="shared" si="18"/>
        <v>0</v>
      </c>
      <c r="H92" s="961" t="b">
        <v>0</v>
      </c>
      <c r="I92" s="961" t="b">
        <v>0</v>
      </c>
      <c r="J92" s="961" t="b">
        <v>0</v>
      </c>
      <c r="K92" s="961" t="b">
        <v>0</v>
      </c>
      <c r="L92" s="321">
        <f t="shared" si="15"/>
        <v>0</v>
      </c>
      <c r="M92" s="321">
        <f t="shared" si="16"/>
        <v>0</v>
      </c>
      <c r="N92" s="321">
        <f t="shared" si="17"/>
        <v>0</v>
      </c>
      <c r="O92" s="321">
        <f t="shared" si="11"/>
        <v>0</v>
      </c>
      <c r="P92" s="321">
        <f>IF(OR(B92=" ",ISNA(L92),ISNA(M92)),0,(((L92*'Purchase Order SCRAFT'!G24)+(M92*'Purchase Order SCRAFT'!F24))/1000))</f>
        <v>0</v>
      </c>
      <c r="Q92" s="321">
        <f>(E70*'Purchase Order SCRAFT'!G24)/1000</f>
        <v>0</v>
      </c>
      <c r="R92" s="321" t="e">
        <f>VLOOKUP('Purchase Order SCRAFT'!Q24,AdditionalFrameTab,2,FALSE)*1000</f>
        <v>#N/A</v>
      </c>
      <c r="S92" s="336">
        <f>IF(OR(B92=" ",ISNA(L92),ISNA(M92),Form_Type="OP"),0,((((L92+E70)*'Purchase Order SCRAFT'!G24)+((M92+I70)*'Purchase Order SCRAFT'!F24))*((50+R92)*38))/1000^3)*V24</f>
        <v>0</v>
      </c>
      <c r="T92" s="336" t="str">
        <f>IF('Purchase Order SCRAFT'!$AE48="Partial","POA","")</f>
        <v/>
      </c>
      <c r="U92" s="336" t="str">
        <f>IF('Purchase Order SCRAFT'!$AE48="Partial","POA","")</f>
        <v/>
      </c>
      <c r="V92" s="264">
        <f>IF(OR('Purchase Order SCRAFT'!E72="All",'Purchase Order SCRAFT'!E72="Full"),((((P92+Q92)*1000)*'Purchase Order SCRAFT'!F72*38)/1000^3)*V24,IF('Purchase Order SCRAFT'!E72="Partial",(((U92*'Purchase Order SCRAFT'!F24*'Purchase Order SCRAFT'!D24*('Purchase Order SCRAFT'!F72*38)+(T92*'Purchase Order SCRAFT'!G24*'Purchase Order SCRAFT'!D24*('Purchase Order SCRAFT'!F72*38)))/1000^3)),0))</f>
        <v>0</v>
      </c>
      <c r="W92" s="265">
        <f ca="1">IF(AND('Purchase Order SCRAFT'!AE48="Partial",V92=0),"POA",IF(prefix="ss_",IF('Purchase Order SCRAFT'!AE48="No",0,IF('Purchase Order SCRAFT'!G24&lt;1501,2,IF('Purchase Order SCRAFT'!G24&lt;2501,3,4))*'Pricing and calculations'!$X$74),VLOOKUP("Build-out",BattenPriceTab,2,FALSE)*V92))</f>
        <v>0</v>
      </c>
    </row>
    <row r="93" spans="1:23" x14ac:dyDescent="0.2">
      <c r="A93" s="261">
        <v>19</v>
      </c>
      <c r="B93" s="945" t="str">
        <f t="shared" si="12"/>
        <v xml:space="preserve"> </v>
      </c>
      <c r="C93" s="960" t="b">
        <v>0</v>
      </c>
      <c r="D93" s="961" t="b">
        <f t="shared" si="13"/>
        <v>0</v>
      </c>
      <c r="E93" s="961" t="b">
        <f t="shared" si="18"/>
        <v>0</v>
      </c>
      <c r="F93" s="961" t="b">
        <f t="shared" si="18"/>
        <v>0</v>
      </c>
      <c r="G93" s="961" t="b">
        <f t="shared" si="18"/>
        <v>0</v>
      </c>
      <c r="H93" s="961" t="b">
        <v>0</v>
      </c>
      <c r="I93" s="961" t="b">
        <v>0</v>
      </c>
      <c r="J93" s="961" t="b">
        <v>0</v>
      </c>
      <c r="K93" s="961" t="b">
        <v>0</v>
      </c>
      <c r="L93" s="321">
        <f t="shared" si="15"/>
        <v>0</v>
      </c>
      <c r="M93" s="321">
        <f t="shared" si="16"/>
        <v>0</v>
      </c>
      <c r="N93" s="321">
        <f t="shared" si="17"/>
        <v>0</v>
      </c>
      <c r="O93" s="321">
        <f t="shared" si="11"/>
        <v>0</v>
      </c>
      <c r="P93" s="321">
        <f>IF(OR(B93=" ",ISNA(L93),ISNA(M93)),0,(((L93*'Purchase Order SCRAFT'!G25)+(M93*'Purchase Order SCRAFT'!F25))/1000))</f>
        <v>0</v>
      </c>
      <c r="Q93" s="321">
        <f>(E71*'Purchase Order SCRAFT'!G25)/1000</f>
        <v>0</v>
      </c>
      <c r="R93" s="321" t="e">
        <f>VLOOKUP('Purchase Order SCRAFT'!Q25,AdditionalFrameTab,2,FALSE)*1000</f>
        <v>#N/A</v>
      </c>
      <c r="S93" s="336">
        <f>IF(OR(B93=" ",ISNA(L93),ISNA(M93),Form_Type="OP"),0,((((L93+E71)*'Purchase Order SCRAFT'!G25)+((M93+I71)*'Purchase Order SCRAFT'!F25))*((50+R93)*38))/1000^3)*V25</f>
        <v>0</v>
      </c>
      <c r="T93" s="336" t="str">
        <f>IF('Purchase Order SCRAFT'!$AE49="Partial","POA","")</f>
        <v/>
      </c>
      <c r="U93" s="336" t="str">
        <f>IF('Purchase Order SCRAFT'!$AE49="Partial","POA","")</f>
        <v/>
      </c>
      <c r="V93" s="264">
        <f>IF(OR('Purchase Order SCRAFT'!E73="All",'Purchase Order SCRAFT'!E73="Full"),((((P93+Q93)*1000)*'Purchase Order SCRAFT'!F73*38)/1000^3)*V25,IF('Purchase Order SCRAFT'!E73="Partial",(((U93*'Purchase Order SCRAFT'!F25*'Purchase Order SCRAFT'!D25*('Purchase Order SCRAFT'!F73*38)+(T93*'Purchase Order SCRAFT'!G25*'Purchase Order SCRAFT'!D25*('Purchase Order SCRAFT'!F73*38)))/1000^3)),0))</f>
        <v>0</v>
      </c>
      <c r="W93" s="265">
        <f ca="1">IF(AND('Purchase Order SCRAFT'!AE49="Partial",V93=0),"POA",IF(prefix="ss_",IF('Purchase Order SCRAFT'!AE49="No",0,IF('Purchase Order SCRAFT'!G25&lt;1501,2,IF('Purchase Order SCRAFT'!G25&lt;2501,3,4))*'Pricing and calculations'!$X$74),VLOOKUP("Build-out",BattenPriceTab,2,FALSE)*V93))</f>
        <v>0</v>
      </c>
    </row>
    <row r="94" spans="1:23" ht="15.75" thickBot="1" x14ac:dyDescent="0.25">
      <c r="A94" s="262">
        <v>20</v>
      </c>
      <c r="B94" s="946" t="str">
        <f t="shared" si="12"/>
        <v xml:space="preserve"> </v>
      </c>
      <c r="C94" s="962" t="b">
        <v>0</v>
      </c>
      <c r="D94" s="961" t="b">
        <f t="shared" si="13"/>
        <v>0</v>
      </c>
      <c r="E94" s="961" t="b">
        <f t="shared" si="18"/>
        <v>0</v>
      </c>
      <c r="F94" s="961" t="b">
        <f t="shared" si="18"/>
        <v>0</v>
      </c>
      <c r="G94" s="961" t="b">
        <f t="shared" si="18"/>
        <v>0</v>
      </c>
      <c r="H94" s="963" t="b">
        <v>0</v>
      </c>
      <c r="I94" s="963" t="b">
        <v>0</v>
      </c>
      <c r="J94" s="963" t="b">
        <v>0</v>
      </c>
      <c r="K94" s="963" t="b">
        <v>0</v>
      </c>
      <c r="L94" s="322">
        <f t="shared" si="15"/>
        <v>0</v>
      </c>
      <c r="M94" s="322">
        <f t="shared" si="16"/>
        <v>0</v>
      </c>
      <c r="N94" s="322">
        <f t="shared" si="17"/>
        <v>0</v>
      </c>
      <c r="O94" s="322">
        <f t="shared" si="11"/>
        <v>0</v>
      </c>
      <c r="P94" s="322">
        <f>IF(OR(B94=" ",ISNA(L94),ISNA(M94)),0,(((L94*'Purchase Order SCRAFT'!G26)+(M94*'Purchase Order SCRAFT'!F26))/1000))</f>
        <v>0</v>
      </c>
      <c r="Q94" s="322">
        <f>(E72*'Purchase Order SCRAFT'!G26)/1000</f>
        <v>0</v>
      </c>
      <c r="R94" s="322" t="e">
        <f>VLOOKUP('Purchase Order SCRAFT'!Q26,AdditionalFrameTab,2,FALSE)*1000</f>
        <v>#N/A</v>
      </c>
      <c r="S94" s="337">
        <f>IF(OR(B94=" ",ISNA(L94),ISNA(M94),Form_Type="OP"),0,((((L94+E72)*'Purchase Order SCRAFT'!G26)+((M94+I72)*'Purchase Order SCRAFT'!F26))*((50+R94)*38))/1000^3)*V26</f>
        <v>0</v>
      </c>
      <c r="T94" s="337" t="str">
        <f>IF('Purchase Order SCRAFT'!$AE50="Partial","POA","")</f>
        <v/>
      </c>
      <c r="U94" s="337" t="str">
        <f>IF('Purchase Order SCRAFT'!$AE50="Partial","POA","")</f>
        <v/>
      </c>
      <c r="V94" s="266">
        <f>IF(OR('Purchase Order SCRAFT'!E74="All",'Purchase Order SCRAFT'!E74="Full"),((((P94+Q94)*1000)*'Purchase Order SCRAFT'!F74*38)/1000^3)*V26,IF('Purchase Order SCRAFT'!E74="Partial",(((U94*'Purchase Order SCRAFT'!F26*'Purchase Order SCRAFT'!D26*('Purchase Order SCRAFT'!F74*38)+(T94*'Purchase Order SCRAFT'!G26*'Purchase Order SCRAFT'!D26*('Purchase Order SCRAFT'!F74*38)))/1000^3)),0))</f>
        <v>0</v>
      </c>
      <c r="W94" s="267">
        <f ca="1">IF(AND('Purchase Order SCRAFT'!AE50="Partial",V94=0),"POA",IF(prefix="ss_",IF('Purchase Order SCRAFT'!AE50="No",0,IF('Purchase Order SCRAFT'!G26&lt;1501,2,IF('Purchase Order SCRAFT'!G26&lt;2501,3,4))*'Pricing and calculations'!$X$74),VLOOKUP("Build-out",BattenPriceTab,2,FALSE)*V94))</f>
        <v>0</v>
      </c>
    </row>
    <row r="95" spans="1:23" ht="15.75" thickBot="1" x14ac:dyDescent="0.25">
      <c r="A95" s="268"/>
      <c r="B95" s="258" t="s">
        <v>11</v>
      </c>
      <c r="C95" s="258"/>
      <c r="D95" s="258"/>
      <c r="E95" s="258"/>
      <c r="F95" s="258"/>
      <c r="G95" s="258"/>
      <c r="H95" s="258"/>
      <c r="I95" s="258"/>
      <c r="J95" s="258"/>
      <c r="K95" s="258"/>
      <c r="L95" s="258"/>
      <c r="M95" s="258"/>
      <c r="N95" s="258"/>
      <c r="O95" s="258"/>
      <c r="P95" s="258"/>
      <c r="Q95" s="258"/>
      <c r="R95" s="258"/>
      <c r="S95" s="338">
        <f>SUM(S75:S94)</f>
        <v>0.11134117040000001</v>
      </c>
      <c r="T95" s="338"/>
      <c r="U95" s="338"/>
      <c r="V95" s="258">
        <f>SUM(V75:V94)</f>
        <v>0</v>
      </c>
      <c r="W95" s="269">
        <f ca="1">SUM(W75:W94)</f>
        <v>0</v>
      </c>
    </row>
    <row r="96" spans="1:23" x14ac:dyDescent="0.2">
      <c r="A96" s="498"/>
      <c r="B96" s="498"/>
      <c r="C96" s="498"/>
      <c r="D96" s="498"/>
      <c r="E96" s="498"/>
      <c r="F96" s="498"/>
      <c r="G96" s="499"/>
      <c r="H96" s="499"/>
      <c r="I96" s="499"/>
      <c r="J96" s="499"/>
      <c r="K96" s="498"/>
      <c r="L96" s="498"/>
    </row>
    <row r="97" spans="1:12" x14ac:dyDescent="0.2">
      <c r="A97" s="498"/>
      <c r="B97" s="498"/>
      <c r="C97" s="498"/>
      <c r="D97" s="498"/>
      <c r="E97" s="498"/>
      <c r="F97" s="498"/>
      <c r="G97" s="499"/>
      <c r="H97" s="499"/>
      <c r="I97" s="499"/>
      <c r="J97" s="499"/>
      <c r="K97" s="498"/>
      <c r="L97" s="498"/>
    </row>
    <row r="98" spans="1:12" ht="15.75" thickBot="1" x14ac:dyDescent="0.25">
      <c r="A98" s="455" t="s">
        <v>331</v>
      </c>
      <c r="B98" s="455"/>
      <c r="C98" s="455"/>
      <c r="D98" s="455"/>
      <c r="E98" s="455"/>
      <c r="F98" s="455"/>
    </row>
    <row r="99" spans="1:12" ht="15.75" thickBot="1" x14ac:dyDescent="0.25">
      <c r="A99" s="456" t="s">
        <v>31</v>
      </c>
      <c r="B99" s="457" t="s">
        <v>0</v>
      </c>
      <c r="C99" s="457" t="s">
        <v>326</v>
      </c>
      <c r="D99" s="457" t="s">
        <v>327</v>
      </c>
      <c r="E99" s="457" t="s">
        <v>328</v>
      </c>
      <c r="F99" s="457" t="s">
        <v>329</v>
      </c>
    </row>
    <row r="100" spans="1:12" x14ac:dyDescent="0.2">
      <c r="A100" s="458">
        <v>1</v>
      </c>
      <c r="B100" s="459" t="str">
        <f t="shared" ref="B100:B119" si="19">B31</f>
        <v xml:space="preserve">Bed 2 </v>
      </c>
      <c r="C100" s="460" t="e">
        <f>VLOOKUP('Purchase Order SCRAFT'!R7,AdditionalFrameTab,2,FALSE)</f>
        <v>#N/A</v>
      </c>
      <c r="D100" s="460">
        <f t="shared" ref="D100:D119" si="20">P75</f>
        <v>5.226</v>
      </c>
      <c r="E100" s="460" t="e">
        <f>C100*D100</f>
        <v>#N/A</v>
      </c>
      <c r="F100" s="461" t="e">
        <f ca="1">IF(D100=0,0,IF(Form_Type="Frame",0,IF(RIGHT('Purchase Order SCRAFT'!Z7,6)="Swatch",VLOOKUP("Custom Colour",colourpricetab,2)*E100,VLOOKUP('Purchase Order SCRAFT'!Z7,colourpricetab,2,FALSE)*E100)))</f>
        <v>#N/A</v>
      </c>
    </row>
    <row r="101" spans="1:12" x14ac:dyDescent="0.2">
      <c r="A101" s="462">
        <v>2</v>
      </c>
      <c r="B101" s="463" t="str">
        <f t="shared" si="19"/>
        <v>Bed1</v>
      </c>
      <c r="C101" s="464" t="e">
        <f>VLOOKUP('Purchase Order SCRAFT'!R8,AdditionalFrameTab,2,FALSE)</f>
        <v>#N/A</v>
      </c>
      <c r="D101" s="464">
        <f t="shared" si="20"/>
        <v>7.55</v>
      </c>
      <c r="E101" s="464" t="e">
        <f t="shared" ref="E101:E119" si="21">C101*D101</f>
        <v>#N/A</v>
      </c>
      <c r="F101" s="465" t="e">
        <f ca="1">IF(D101=0,0,IF(Form_Type="Frame",0,IF(RIGHT('Purchase Order SCRAFT'!Z8,6)="Swatch",VLOOKUP("Custom Colour",colourpricetab,2)*E101,VLOOKUP('Purchase Order SCRAFT'!Z8,colourpricetab,2,FALSE)*E101)))</f>
        <v>#N/A</v>
      </c>
    </row>
    <row r="102" spans="1:12" x14ac:dyDescent="0.2">
      <c r="A102" s="462">
        <v>3</v>
      </c>
      <c r="B102" s="463" t="str">
        <f t="shared" si="19"/>
        <v xml:space="preserve">Dressing Room </v>
      </c>
      <c r="C102" s="464" t="e">
        <f>VLOOKUP('Purchase Order SCRAFT'!R9,AdditionalFrameTab,2,FALSE)</f>
        <v>#N/A</v>
      </c>
      <c r="D102" s="464">
        <f t="shared" si="20"/>
        <v>5.3860000000000001</v>
      </c>
      <c r="E102" s="464" t="e">
        <f t="shared" si="21"/>
        <v>#N/A</v>
      </c>
      <c r="F102" s="465" t="e">
        <f ca="1">IF(D102=0,0,IF(Form_Type="Frame",0,IF(RIGHT('Purchase Order SCRAFT'!Z9,6)="Swatch",VLOOKUP("Custom Colour",colourpricetab,2)*E102,VLOOKUP('Purchase Order SCRAFT'!Z9,colourpricetab,2,FALSE)*E102)))</f>
        <v>#N/A</v>
      </c>
    </row>
    <row r="103" spans="1:12" x14ac:dyDescent="0.2">
      <c r="A103" s="462">
        <v>4</v>
      </c>
      <c r="B103" s="463" t="str">
        <f t="shared" si="19"/>
        <v xml:space="preserve">Front Door Panels </v>
      </c>
      <c r="C103" s="464" t="e">
        <f>VLOOKUP('Purchase Order SCRAFT'!R10,AdditionalFrameTab,2,FALSE)</f>
        <v>#N/A</v>
      </c>
      <c r="D103" s="464">
        <f t="shared" si="20"/>
        <v>3.06</v>
      </c>
      <c r="E103" s="464" t="e">
        <f t="shared" si="21"/>
        <v>#N/A</v>
      </c>
      <c r="F103" s="465" t="e">
        <f ca="1">IF(D103=0,0,IF(Form_Type="Frame",0,IF(RIGHT('Purchase Order SCRAFT'!Z10,6)="Swatch",VLOOKUP("Custom Colour",colourpricetab,2)*E103,VLOOKUP('Purchase Order SCRAFT'!Z10,colourpricetab,2,FALSE)*E103)))</f>
        <v>#N/A</v>
      </c>
    </row>
    <row r="104" spans="1:12" x14ac:dyDescent="0.2">
      <c r="A104" s="462">
        <v>5</v>
      </c>
      <c r="B104" s="463" t="str">
        <f t="shared" si="19"/>
        <v xml:space="preserve">Front Door Panels </v>
      </c>
      <c r="C104" s="464" t="e">
        <f>VLOOKUP('Purchase Order SCRAFT'!R11,AdditionalFrameTab,2,FALSE)</f>
        <v>#N/A</v>
      </c>
      <c r="D104" s="464">
        <f t="shared" si="20"/>
        <v>3.06</v>
      </c>
      <c r="E104" s="464" t="e">
        <f t="shared" si="21"/>
        <v>#N/A</v>
      </c>
      <c r="F104" s="465" t="e">
        <f ca="1">IF(D104=0,0,IF(Form_Type="Frame",0,IF(RIGHT('Purchase Order SCRAFT'!Z11,6)="Swatch",VLOOKUP("Custom Colour",colourpricetab,2)*E104,VLOOKUP('Purchase Order SCRAFT'!Z11,colourpricetab,2,FALSE)*E104)))</f>
        <v>#N/A</v>
      </c>
    </row>
    <row r="105" spans="1:12" x14ac:dyDescent="0.2">
      <c r="A105" s="462">
        <v>6</v>
      </c>
      <c r="B105" s="463" t="str">
        <f t="shared" si="19"/>
        <v>Study</v>
      </c>
      <c r="C105" s="464" t="e">
        <f>VLOOKUP('Purchase Order SCRAFT'!R12,AdditionalFrameTab,2,FALSE)</f>
        <v>#N/A</v>
      </c>
      <c r="D105" s="464">
        <f t="shared" si="20"/>
        <v>6.08</v>
      </c>
      <c r="E105" s="464" t="e">
        <f t="shared" si="21"/>
        <v>#N/A</v>
      </c>
      <c r="F105" s="465" t="e">
        <f ca="1">IF(D105=0,0,IF(Form_Type="Frame",0,IF(RIGHT('Purchase Order SCRAFT'!Z12,6)="Swatch",VLOOKUP("Custom Colour",colourpricetab,2)*E105,VLOOKUP('Purchase Order SCRAFT'!Z12,colourpricetab,2,FALSE)*E105)))</f>
        <v>#N/A</v>
      </c>
    </row>
    <row r="106" spans="1:12" x14ac:dyDescent="0.2">
      <c r="A106" s="462">
        <v>7</v>
      </c>
      <c r="B106" s="463" t="str">
        <f t="shared" si="19"/>
        <v>Study</v>
      </c>
      <c r="C106" s="464" t="e">
        <f>VLOOKUP('Purchase Order SCRAFT'!R13,AdditionalFrameTab,2,FALSE)</f>
        <v>#N/A</v>
      </c>
      <c r="D106" s="464">
        <f t="shared" si="20"/>
        <v>6.8</v>
      </c>
      <c r="E106" s="464" t="e">
        <f t="shared" si="21"/>
        <v>#N/A</v>
      </c>
      <c r="F106" s="465" t="e">
        <f ca="1">IF(D106=0,0,IF(Form_Type="Frame",0,IF(RIGHT('Purchase Order SCRAFT'!Z13,6)="Swatch",VLOOKUP("Custom Colour",colourpricetab,2)*E106,VLOOKUP('Purchase Order SCRAFT'!Z13,colourpricetab,2,FALSE)*E106)))</f>
        <v>#N/A</v>
      </c>
    </row>
    <row r="107" spans="1:12" x14ac:dyDescent="0.2">
      <c r="A107" s="462">
        <v>8</v>
      </c>
      <c r="B107" s="463" t="str">
        <f t="shared" si="19"/>
        <v xml:space="preserve">Living Room </v>
      </c>
      <c r="C107" s="464" t="e">
        <f>VLOOKUP('Purchase Order SCRAFT'!R14,AdditionalFrameTab,2,FALSE)</f>
        <v>#N/A</v>
      </c>
      <c r="D107" s="464">
        <f t="shared" si="20"/>
        <v>7.06</v>
      </c>
      <c r="E107" s="464" t="e">
        <f t="shared" si="21"/>
        <v>#N/A</v>
      </c>
      <c r="F107" s="465" t="e">
        <f ca="1">IF(D107=0,0,IF(Form_Type="Frame",0,IF(RIGHT('Purchase Order SCRAFT'!Z14,6)="Swatch",VLOOKUP("Custom Colour",colourpricetab,2)*E107,VLOOKUP('Purchase Order SCRAFT'!Z14,colourpricetab,2,FALSE)*E107)))</f>
        <v>#N/A</v>
      </c>
    </row>
    <row r="108" spans="1:12" x14ac:dyDescent="0.2">
      <c r="A108" s="462">
        <v>9</v>
      </c>
      <c r="B108" s="463" t="str">
        <f t="shared" si="19"/>
        <v>Utility</v>
      </c>
      <c r="C108" s="464" t="e">
        <f>VLOOKUP('Purchase Order SCRAFT'!R15,AdditionalFrameTab,2,FALSE)</f>
        <v>#N/A</v>
      </c>
      <c r="D108" s="464">
        <f t="shared" si="20"/>
        <v>4.5599999999999996</v>
      </c>
      <c r="E108" s="464" t="e">
        <f t="shared" si="21"/>
        <v>#N/A</v>
      </c>
      <c r="F108" s="465" t="e">
        <f ca="1">IF(D108=0,0,IF(Form_Type="Frame",0,IF(RIGHT('Purchase Order SCRAFT'!Z15,6)="Swatch",VLOOKUP("Custom Colour",colourpricetab,2)*E108,VLOOKUP('Purchase Order SCRAFT'!Z15,colourpricetab,2,FALSE)*E108)))</f>
        <v>#N/A</v>
      </c>
    </row>
    <row r="109" spans="1:12" x14ac:dyDescent="0.2">
      <c r="A109" s="462">
        <v>10</v>
      </c>
      <c r="B109" s="463" t="str">
        <f t="shared" si="19"/>
        <v xml:space="preserve"> </v>
      </c>
      <c r="C109" s="464" t="e">
        <f>VLOOKUP('Purchase Order SCRAFT'!R16,AdditionalFrameTab,2,FALSE)</f>
        <v>#N/A</v>
      </c>
      <c r="D109" s="464">
        <f t="shared" si="20"/>
        <v>0</v>
      </c>
      <c r="E109" s="464" t="e">
        <f t="shared" si="21"/>
        <v>#N/A</v>
      </c>
      <c r="F109" s="465">
        <f>IF(D109=0,0,IF(Form_Type="Frame",0,IF(RIGHT('Purchase Order SCRAFT'!Z16,6)="Swatch",VLOOKUP("Custom Colour",colourpricetab,2)*E109,VLOOKUP('Purchase Order SCRAFT'!Z16,colourpricetab,2,FALSE)*E109)))</f>
        <v>0</v>
      </c>
    </row>
    <row r="110" spans="1:12" x14ac:dyDescent="0.2">
      <c r="A110" s="462">
        <v>11</v>
      </c>
      <c r="B110" s="463" t="str">
        <f t="shared" si="19"/>
        <v xml:space="preserve"> </v>
      </c>
      <c r="C110" s="464" t="e">
        <f>VLOOKUP('Purchase Order SCRAFT'!R17,AdditionalFrameTab,2,FALSE)</f>
        <v>#N/A</v>
      </c>
      <c r="D110" s="464">
        <f t="shared" si="20"/>
        <v>0</v>
      </c>
      <c r="E110" s="464" t="e">
        <f t="shared" si="21"/>
        <v>#N/A</v>
      </c>
      <c r="F110" s="465">
        <f>IF(D110=0,0,IF(Form_Type="Frame",0,IF(RIGHT('Purchase Order SCRAFT'!Z17,6)="Swatch",VLOOKUP("Custom Colour",colourpricetab,2)*E110,VLOOKUP('Purchase Order SCRAFT'!Z17,colourpricetab,2,FALSE)*E110)))</f>
        <v>0</v>
      </c>
    </row>
    <row r="111" spans="1:12" x14ac:dyDescent="0.2">
      <c r="A111" s="462">
        <v>12</v>
      </c>
      <c r="B111" s="463" t="str">
        <f t="shared" si="19"/>
        <v xml:space="preserve"> </v>
      </c>
      <c r="C111" s="464" t="e">
        <f>VLOOKUP('Purchase Order SCRAFT'!R18,AdditionalFrameTab,2,FALSE)</f>
        <v>#N/A</v>
      </c>
      <c r="D111" s="464">
        <f t="shared" si="20"/>
        <v>0</v>
      </c>
      <c r="E111" s="464" t="e">
        <f t="shared" si="21"/>
        <v>#N/A</v>
      </c>
      <c r="F111" s="465">
        <f>IF(D111=0,0,IF(Form_Type="Frame",0,IF(RIGHT('Purchase Order SCRAFT'!Z18,6)="Swatch",VLOOKUP("Custom Colour",colourpricetab,2)*E111,VLOOKUP('Purchase Order SCRAFT'!Z18,colourpricetab,2,FALSE)*E111)))</f>
        <v>0</v>
      </c>
    </row>
    <row r="112" spans="1:12" x14ac:dyDescent="0.2">
      <c r="A112" s="462">
        <v>13</v>
      </c>
      <c r="B112" s="463" t="str">
        <f t="shared" si="19"/>
        <v xml:space="preserve"> </v>
      </c>
      <c r="C112" s="464" t="e">
        <f>VLOOKUP('Purchase Order SCRAFT'!R19,AdditionalFrameTab,2,FALSE)</f>
        <v>#N/A</v>
      </c>
      <c r="D112" s="464">
        <f t="shared" si="20"/>
        <v>0</v>
      </c>
      <c r="E112" s="464" t="e">
        <f t="shared" si="21"/>
        <v>#N/A</v>
      </c>
      <c r="F112" s="465">
        <f>IF(D112=0,0,IF(Form_Type="Frame",0,IF(RIGHT('Purchase Order SCRAFT'!Z19,6)="Swatch",VLOOKUP("Custom Colour",colourpricetab,2)*E112,VLOOKUP('Purchase Order SCRAFT'!Z19,colourpricetab,2,FALSE)*E112)))</f>
        <v>0</v>
      </c>
    </row>
    <row r="113" spans="1:31" x14ac:dyDescent="0.2">
      <c r="A113" s="462">
        <v>14</v>
      </c>
      <c r="B113" s="463" t="str">
        <f t="shared" si="19"/>
        <v xml:space="preserve"> </v>
      </c>
      <c r="C113" s="464" t="e">
        <f>VLOOKUP('Purchase Order SCRAFT'!R20,AdditionalFrameTab,2,FALSE)</f>
        <v>#N/A</v>
      </c>
      <c r="D113" s="464">
        <f t="shared" si="20"/>
        <v>0</v>
      </c>
      <c r="E113" s="464" t="e">
        <f t="shared" si="21"/>
        <v>#N/A</v>
      </c>
      <c r="F113" s="465">
        <f>IF(D113=0,0,IF(Form_Type="Frame",0,IF(RIGHT('Purchase Order SCRAFT'!Z20,6)="Swatch",VLOOKUP("Custom Colour",colourpricetab,2)*E113,VLOOKUP('Purchase Order SCRAFT'!Z20,colourpricetab,2,FALSE)*E113)))</f>
        <v>0</v>
      </c>
    </row>
    <row r="114" spans="1:31" x14ac:dyDescent="0.2">
      <c r="A114" s="462">
        <v>15</v>
      </c>
      <c r="B114" s="463" t="str">
        <f t="shared" si="19"/>
        <v xml:space="preserve"> </v>
      </c>
      <c r="C114" s="464" t="e">
        <f>VLOOKUP('Purchase Order SCRAFT'!R21,AdditionalFrameTab,2,FALSE)</f>
        <v>#N/A</v>
      </c>
      <c r="D114" s="464">
        <f t="shared" si="20"/>
        <v>0</v>
      </c>
      <c r="E114" s="464" t="e">
        <f t="shared" si="21"/>
        <v>#N/A</v>
      </c>
      <c r="F114" s="465">
        <f>IF(D114=0,0,IF(Form_Type="Frame",0,IF(RIGHT('Purchase Order SCRAFT'!Z21,6)="Swatch",VLOOKUP("Custom Colour",colourpricetab,2)*E114,VLOOKUP('Purchase Order SCRAFT'!Z21,colourpricetab,2,FALSE)*E114)))</f>
        <v>0</v>
      </c>
    </row>
    <row r="115" spans="1:31" x14ac:dyDescent="0.2">
      <c r="A115" s="462">
        <v>16</v>
      </c>
      <c r="B115" s="463" t="str">
        <f t="shared" si="19"/>
        <v xml:space="preserve"> </v>
      </c>
      <c r="C115" s="464" t="e">
        <f>VLOOKUP('Purchase Order SCRAFT'!R22,AdditionalFrameTab,2,FALSE)</f>
        <v>#N/A</v>
      </c>
      <c r="D115" s="464">
        <f t="shared" si="20"/>
        <v>0</v>
      </c>
      <c r="E115" s="464" t="e">
        <f t="shared" si="21"/>
        <v>#N/A</v>
      </c>
      <c r="F115" s="465">
        <f>IF(D115=0,0,IF(Form_Type="Frame",0,IF(RIGHT('Purchase Order SCRAFT'!Z22,6)="Swatch",VLOOKUP("Custom Colour",colourpricetab,2)*E115,VLOOKUP('Purchase Order SCRAFT'!Z22,colourpricetab,2,FALSE)*E115)))</f>
        <v>0</v>
      </c>
    </row>
    <row r="116" spans="1:31" x14ac:dyDescent="0.2">
      <c r="A116" s="462">
        <v>17</v>
      </c>
      <c r="B116" s="463" t="str">
        <f t="shared" si="19"/>
        <v xml:space="preserve"> </v>
      </c>
      <c r="C116" s="464" t="e">
        <f>VLOOKUP('Purchase Order SCRAFT'!R23,AdditionalFrameTab,2,FALSE)</f>
        <v>#N/A</v>
      </c>
      <c r="D116" s="464">
        <f t="shared" si="20"/>
        <v>0</v>
      </c>
      <c r="E116" s="464" t="e">
        <f t="shared" si="21"/>
        <v>#N/A</v>
      </c>
      <c r="F116" s="465">
        <f>IF(D116=0,0,IF(Form_Type="Frame",0,IF(RIGHT('Purchase Order SCRAFT'!Z23,6)="Swatch",VLOOKUP("Custom Colour",colourpricetab,2)*E116,VLOOKUP('Purchase Order SCRAFT'!Z23,colourpricetab,2,FALSE)*E116)))</f>
        <v>0</v>
      </c>
    </row>
    <row r="117" spans="1:31" x14ac:dyDescent="0.2">
      <c r="A117" s="462">
        <v>18</v>
      </c>
      <c r="B117" s="463" t="str">
        <f t="shared" si="19"/>
        <v xml:space="preserve"> </v>
      </c>
      <c r="C117" s="464" t="e">
        <f>VLOOKUP('Purchase Order SCRAFT'!R24,AdditionalFrameTab,2,FALSE)</f>
        <v>#N/A</v>
      </c>
      <c r="D117" s="464">
        <f t="shared" si="20"/>
        <v>0</v>
      </c>
      <c r="E117" s="464" t="e">
        <f t="shared" si="21"/>
        <v>#N/A</v>
      </c>
      <c r="F117" s="465">
        <f>IF(D117=0,0,IF(Form_Type="Frame",0,IF(RIGHT('Purchase Order SCRAFT'!Z24,6)="Swatch",VLOOKUP("Custom Colour",colourpricetab,2)*E117,VLOOKUP('Purchase Order SCRAFT'!Z24,colourpricetab,2,FALSE)*E117)))</f>
        <v>0</v>
      </c>
    </row>
    <row r="118" spans="1:31" x14ac:dyDescent="0.2">
      <c r="A118" s="462">
        <v>19</v>
      </c>
      <c r="B118" s="463" t="str">
        <f t="shared" si="19"/>
        <v xml:space="preserve"> </v>
      </c>
      <c r="C118" s="464" t="e">
        <f>VLOOKUP('Purchase Order SCRAFT'!R25,AdditionalFrameTab,2,FALSE)</f>
        <v>#N/A</v>
      </c>
      <c r="D118" s="464">
        <f t="shared" si="20"/>
        <v>0</v>
      </c>
      <c r="E118" s="464" t="e">
        <f t="shared" si="21"/>
        <v>#N/A</v>
      </c>
      <c r="F118" s="465">
        <f>IF(D118=0,0,IF(Form_Type="Frame",0,IF(RIGHT('Purchase Order SCRAFT'!Z25,6)="Swatch",VLOOKUP("Custom Colour",colourpricetab,2)*E118,VLOOKUP('Purchase Order SCRAFT'!Z25,colourpricetab,2,FALSE)*E118)))</f>
        <v>0</v>
      </c>
    </row>
    <row r="119" spans="1:31" ht="15.75" thickBot="1" x14ac:dyDescent="0.25">
      <c r="A119" s="466">
        <v>20</v>
      </c>
      <c r="B119" s="467" t="str">
        <f t="shared" si="19"/>
        <v xml:space="preserve"> </v>
      </c>
      <c r="C119" s="468" t="e">
        <f>VLOOKUP('Purchase Order SCRAFT'!R26,AdditionalFrameTab,2,FALSE)</f>
        <v>#N/A</v>
      </c>
      <c r="D119" s="468">
        <f t="shared" si="20"/>
        <v>0</v>
      </c>
      <c r="E119" s="468" t="e">
        <f t="shared" si="21"/>
        <v>#N/A</v>
      </c>
      <c r="F119" s="469">
        <f>IF(D119=0,0,IF(Form_Type="Frame",0,IF(RIGHT('Purchase Order SCRAFT'!Z26,6)="Swatch",VLOOKUP("Custom Colour",colourpricetab,2)*E119,VLOOKUP('Purchase Order SCRAFT'!Z26,colourpricetab,2,FALSE)*E119)))</f>
        <v>0</v>
      </c>
    </row>
    <row r="121" spans="1:31" x14ac:dyDescent="0.2">
      <c r="A121" t="s">
        <v>652</v>
      </c>
    </row>
    <row r="122" spans="1:31" x14ac:dyDescent="0.2">
      <c r="A122" t="s">
        <v>653</v>
      </c>
      <c r="B122">
        <v>1</v>
      </c>
      <c r="C122">
        <v>2</v>
      </c>
      <c r="D122">
        <v>3</v>
      </c>
      <c r="E122">
        <v>4</v>
      </c>
      <c r="F122">
        <v>5</v>
      </c>
      <c r="G122">
        <v>6</v>
      </c>
      <c r="H122">
        <v>7</v>
      </c>
      <c r="I122">
        <v>8</v>
      </c>
      <c r="J122">
        <v>9</v>
      </c>
      <c r="K122">
        <v>10</v>
      </c>
      <c r="L122">
        <v>11</v>
      </c>
      <c r="M122">
        <v>12</v>
      </c>
      <c r="N122">
        <v>13</v>
      </c>
      <c r="O122">
        <v>14</v>
      </c>
      <c r="P122">
        <v>15</v>
      </c>
      <c r="Q122">
        <v>16</v>
      </c>
      <c r="R122">
        <v>17</v>
      </c>
      <c r="S122">
        <v>18</v>
      </c>
      <c r="T122">
        <v>19</v>
      </c>
      <c r="U122">
        <v>20</v>
      </c>
      <c r="V122">
        <v>21</v>
      </c>
      <c r="W122">
        <v>22</v>
      </c>
      <c r="X122">
        <v>23</v>
      </c>
      <c r="Y122">
        <v>24</v>
      </c>
      <c r="Z122">
        <v>25</v>
      </c>
      <c r="AA122">
        <v>26</v>
      </c>
      <c r="AB122">
        <v>27</v>
      </c>
      <c r="AC122">
        <v>28</v>
      </c>
      <c r="AD122">
        <v>29</v>
      </c>
      <c r="AE122">
        <v>30</v>
      </c>
    </row>
    <row r="123" spans="1:31" x14ac:dyDescent="0.2">
      <c r="A123" s="739">
        <v>1</v>
      </c>
      <c r="B123" t="str">
        <f>MID('Purchase Order SCRAFT'!$E7,'Pricing and calculations'!B122,1)</f>
        <v>L</v>
      </c>
      <c r="C123" t="str">
        <f>MID('Purchase Order SCRAFT'!$E7,'Pricing and calculations'!C122,1)</f>
        <v>L</v>
      </c>
      <c r="D123" t="str">
        <f>MID('Purchase Order SCRAFT'!$E7,'Pricing and calculations'!D122,1)</f>
        <v>R</v>
      </c>
      <c r="E123" t="str">
        <f>MID('Purchase Order SCRAFT'!$E7,'Pricing and calculations'!E122,1)</f>
        <v>R</v>
      </c>
      <c r="F123" t="str">
        <f>MID('Purchase Order SCRAFT'!$E7,'Pricing and calculations'!F122,1)</f>
        <v/>
      </c>
      <c r="G123" t="str">
        <f>MID('Purchase Order SCRAFT'!J7,'Pricing and calculations'!G122,1)</f>
        <v/>
      </c>
      <c r="H123" t="str">
        <f>MID('Purchase Order SCRAFT'!K7,'Pricing and calculations'!H122,1)</f>
        <v/>
      </c>
      <c r="I123" t="str">
        <f>MID('Purchase Order SCRAFT'!L7,'Pricing and calculations'!I122,1)</f>
        <v/>
      </c>
    </row>
    <row r="124" spans="1:31" x14ac:dyDescent="0.2">
      <c r="A124" s="739">
        <v>2</v>
      </c>
      <c r="B124" t="e">
        <f>IF(SEARCH("T",'Purchase Order SCRAFT'!E7)&gt;0,FIND("T",'Purchase Order SCRAFT'!E7),IF(FIND("C",'Purchase Order SCRAFT'!E7)&gt;0,FIND("C",'Purchase Order SCRAFT'!E7),IF(AND(FIND("B",'Purchase Order SCRAFT'!E7)&gt;0,LEFT('Purchase Order SCRAFT'!C7,5)&lt;&gt;"Track"),FIND("B",'Purchase Order SCRAFT'!E7),0)))</f>
        <v>#VALUE!</v>
      </c>
    </row>
    <row r="125" spans="1:31" x14ac:dyDescent="0.2">
      <c r="A125" s="739">
        <v>3</v>
      </c>
    </row>
    <row r="126" spans="1:31" x14ac:dyDescent="0.2">
      <c r="A126" s="739">
        <v>4</v>
      </c>
    </row>
    <row r="127" spans="1:31" x14ac:dyDescent="0.2">
      <c r="A127" s="739">
        <v>5</v>
      </c>
    </row>
    <row r="128" spans="1:31" x14ac:dyDescent="0.2">
      <c r="A128" s="739">
        <v>6</v>
      </c>
    </row>
    <row r="129" spans="1:1" x14ac:dyDescent="0.2">
      <c r="A129" s="739">
        <v>7</v>
      </c>
    </row>
    <row r="130" spans="1:1" x14ac:dyDescent="0.2">
      <c r="A130" s="739">
        <v>8</v>
      </c>
    </row>
    <row r="131" spans="1:1" x14ac:dyDescent="0.2">
      <c r="A131" s="739">
        <v>9</v>
      </c>
    </row>
    <row r="132" spans="1:1" x14ac:dyDescent="0.2">
      <c r="A132" s="739">
        <v>10</v>
      </c>
    </row>
    <row r="133" spans="1:1" x14ac:dyDescent="0.2">
      <c r="A133" s="739">
        <v>11</v>
      </c>
    </row>
    <row r="134" spans="1:1" x14ac:dyDescent="0.2">
      <c r="A134" s="739">
        <v>12</v>
      </c>
    </row>
    <row r="135" spans="1:1" x14ac:dyDescent="0.2">
      <c r="A135" s="739">
        <v>13</v>
      </c>
    </row>
    <row r="136" spans="1:1" x14ac:dyDescent="0.2">
      <c r="A136" s="739">
        <v>14</v>
      </c>
    </row>
    <row r="137" spans="1:1" x14ac:dyDescent="0.2">
      <c r="A137" s="739">
        <v>15</v>
      </c>
    </row>
    <row r="138" spans="1:1" x14ac:dyDescent="0.2">
      <c r="A138" s="739">
        <v>16</v>
      </c>
    </row>
    <row r="139" spans="1:1" x14ac:dyDescent="0.2">
      <c r="A139" s="739">
        <v>17</v>
      </c>
    </row>
    <row r="140" spans="1:1" x14ac:dyDescent="0.2">
      <c r="A140" s="739">
        <v>18</v>
      </c>
    </row>
    <row r="141" spans="1:1" x14ac:dyDescent="0.2">
      <c r="A141" s="739">
        <v>19</v>
      </c>
    </row>
    <row r="142" spans="1:1" x14ac:dyDescent="0.2">
      <c r="A142" s="739">
        <v>20</v>
      </c>
    </row>
  </sheetData>
  <sheetProtection password="F46C" sheet="1" objects="1" scenarios="1" selectLockedCells="1" selectUnlockedCells="1"/>
  <customSheetViews>
    <customSheetView guid="{554C7132-FEB4-4016-AC1F-AA27B41C0DFC}" scale="75" fitToPage="1" topLeftCell="N1">
      <selection activeCell="O3" sqref="O3"/>
      <pageMargins left="0.12" right="0.26" top="0.73" bottom="1" header="0.5" footer="0.5"/>
      <pageSetup paperSize="9" scale="32" orientation="portrait" r:id="rId1"/>
      <headerFooter alignWithMargins="0"/>
    </customSheetView>
  </customSheetViews>
  <mergeCells count="3">
    <mergeCell ref="E1:F1"/>
    <mergeCell ref="F5:G5"/>
    <mergeCell ref="H1:I1"/>
  </mergeCells>
  <phoneticPr fontId="13" type="noConversion"/>
  <conditionalFormatting sqref="Q27 A100:F119 P76:U94 A31:M50 A7:W26 A123:A142 A75:O94 A53:I72">
    <cfRule type="expression" dxfId="2" priority="2" stopIfTrue="1">
      <formula>MOD(ROW(),4)=0</formula>
    </cfRule>
    <cfRule type="expression" dxfId="1" priority="3" stopIfTrue="1">
      <formula>MOD(ROW()-2,4)=0</formula>
    </cfRule>
  </conditionalFormatting>
  <conditionalFormatting sqref="G31:G50">
    <cfRule type="cellIs" dxfId="0" priority="1" stopIfTrue="1" operator="equal">
      <formula>TRUE</formula>
    </cfRule>
  </conditionalFormatting>
  <dataValidations disablePrompts="1" count="2">
    <dataValidation type="list" allowBlank="1" showInputMessage="1" showErrorMessage="1" sqref="AA75" xr:uid="{00000000-0002-0000-0400-000000000000}">
      <formula1>"b_openbplv"</formula1>
    </dataValidation>
    <dataValidation type="list" allowBlank="1" showInputMessage="1" showErrorMessage="1" sqref="G1" xr:uid="{00000000-0002-0000-0400-000001000000}">
      <formula1>discountrange</formula1>
    </dataValidation>
  </dataValidations>
  <pageMargins left="0.12" right="0.26" top="0.73" bottom="1" header="0.5" footer="0.5"/>
  <pageSetup paperSize="9" scale="10" orientation="portrait" r:id="rId2"/>
  <headerFooter alignWithMargins="0"/>
  <ignoredErrors>
    <ignoredError sqref="L7:L26 I7:I26" evalError="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BZ91"/>
  <sheetViews>
    <sheetView topLeftCell="CA1" zoomScale="75" workbookViewId="0">
      <selection sqref="A1:BZ1048576"/>
    </sheetView>
  </sheetViews>
  <sheetFormatPr defaultRowHeight="12" x14ac:dyDescent="0.2"/>
  <cols>
    <col min="1" max="1" width="16.21875" style="212" hidden="1" customWidth="1"/>
    <col min="2" max="2" width="11.109375" style="212" hidden="1" customWidth="1"/>
    <col min="3" max="3" width="11.33203125" style="212" hidden="1" customWidth="1"/>
    <col min="4" max="4" width="23.44140625" style="212" hidden="1" customWidth="1"/>
    <col min="5" max="5" width="7.109375" style="212" hidden="1" customWidth="1"/>
    <col min="6" max="6" width="10.77734375" style="212" hidden="1" customWidth="1"/>
    <col min="7" max="9" width="8.88671875" style="212" hidden="1" customWidth="1"/>
    <col min="10" max="10" width="18" style="212" hidden="1" customWidth="1"/>
    <col min="11" max="22" width="8.88671875" style="212" hidden="1" customWidth="1"/>
    <col min="23" max="23" width="18.5546875" style="212" hidden="1" customWidth="1"/>
    <col min="24" max="24" width="9.88671875" style="212" hidden="1" customWidth="1"/>
    <col min="25" max="25" width="8.6640625" style="212" hidden="1" customWidth="1"/>
    <col min="26" max="26" width="9.5546875" style="212" hidden="1" customWidth="1"/>
    <col min="27" max="27" width="11.5546875" style="212" hidden="1" customWidth="1"/>
    <col min="28" max="28" width="18.88671875" style="212" hidden="1" customWidth="1"/>
    <col min="29" max="31" width="13.5546875" style="212" hidden="1" customWidth="1"/>
    <col min="32" max="32" width="8.88671875" style="212" hidden="1" customWidth="1"/>
    <col min="33" max="33" width="25.6640625" style="212" hidden="1" customWidth="1"/>
    <col min="34" max="35" width="8.88671875" style="212" hidden="1" customWidth="1"/>
    <col min="36" max="36" width="10.33203125" style="212" hidden="1" customWidth="1"/>
    <col min="37" max="78" width="8.88671875" style="212" hidden="1" customWidth="1"/>
    <col min="79" max="87" width="8.88671875" style="212" customWidth="1"/>
    <col min="88" max="16384" width="8.88671875" style="212"/>
  </cols>
  <sheetData>
    <row r="1" spans="1:37" ht="36" x14ac:dyDescent="0.2">
      <c r="A1" s="82" t="s">
        <v>153</v>
      </c>
      <c r="B1" s="82" t="s">
        <v>238</v>
      </c>
      <c r="C1" s="82" t="s">
        <v>192</v>
      </c>
      <c r="D1" s="273" t="s">
        <v>26</v>
      </c>
      <c r="E1" s="273" t="s">
        <v>326</v>
      </c>
      <c r="F1" s="82" t="s">
        <v>140</v>
      </c>
      <c r="G1" s="82" t="s">
        <v>155</v>
      </c>
      <c r="H1" s="82"/>
      <c r="I1" s="82" t="s">
        <v>310</v>
      </c>
      <c r="J1" s="82" t="s">
        <v>157</v>
      </c>
      <c r="K1" s="82" t="s">
        <v>143</v>
      </c>
      <c r="L1" s="82" t="s">
        <v>236</v>
      </c>
      <c r="M1" s="82" t="s">
        <v>254</v>
      </c>
      <c r="N1" s="82" t="s">
        <v>262</v>
      </c>
      <c r="O1" s="82" t="s">
        <v>255</v>
      </c>
      <c r="P1" s="82" t="s">
        <v>121</v>
      </c>
      <c r="Q1" s="82" t="s">
        <v>613</v>
      </c>
      <c r="R1" s="82"/>
      <c r="S1" s="82" t="s">
        <v>516</v>
      </c>
      <c r="T1" s="323" t="s">
        <v>245</v>
      </c>
      <c r="U1" s="323" t="s">
        <v>248</v>
      </c>
      <c r="V1" s="323" t="s">
        <v>246</v>
      </c>
      <c r="W1" s="323" t="s">
        <v>257</v>
      </c>
      <c r="X1" s="323" t="s">
        <v>287</v>
      </c>
      <c r="Y1" s="323" t="s">
        <v>303</v>
      </c>
      <c r="Z1" s="323" t="s">
        <v>304</v>
      </c>
      <c r="AA1" s="323" t="s">
        <v>305</v>
      </c>
      <c r="AB1" s="273" t="s">
        <v>3</v>
      </c>
      <c r="AC1" s="273" t="s">
        <v>55</v>
      </c>
      <c r="AD1" s="273" t="s">
        <v>638</v>
      </c>
      <c r="AE1" s="728" t="s">
        <v>636</v>
      </c>
      <c r="AF1" s="725" t="s">
        <v>379</v>
      </c>
      <c r="AG1" s="727" t="s">
        <v>637</v>
      </c>
      <c r="AH1" s="273" t="s">
        <v>638</v>
      </c>
      <c r="AI1" s="728" t="s">
        <v>636</v>
      </c>
      <c r="AJ1" s="726" t="s">
        <v>381</v>
      </c>
      <c r="AK1" s="273" t="s">
        <v>324</v>
      </c>
    </row>
    <row r="2" spans="1:37" ht="15" x14ac:dyDescent="0.2">
      <c r="A2" s="212" t="s">
        <v>387</v>
      </c>
      <c r="B2" s="368">
        <v>19</v>
      </c>
      <c r="C2" s="212" t="s">
        <v>207</v>
      </c>
      <c r="D2" s="284" t="s">
        <v>218</v>
      </c>
      <c r="E2" s="453">
        <v>0</v>
      </c>
      <c r="F2" s="212" t="s">
        <v>476</v>
      </c>
      <c r="G2" s="212" t="s">
        <v>477</v>
      </c>
      <c r="I2" s="437">
        <v>0</v>
      </c>
      <c r="J2" s="212" t="s">
        <v>162</v>
      </c>
      <c r="K2" s="212" t="s">
        <v>139</v>
      </c>
      <c r="L2" s="212" t="s">
        <v>119</v>
      </c>
      <c r="M2" s="370">
        <v>0</v>
      </c>
      <c r="N2" s="346"/>
      <c r="O2" s="279">
        <v>0</v>
      </c>
      <c r="P2" s="212" t="b">
        <f>IF('Purchase Order SCRAFT'!$X$79=L2,TRUE,FALSE)</f>
        <v>1</v>
      </c>
      <c r="Q2" s="212" t="s">
        <v>649</v>
      </c>
      <c r="S2" s="212">
        <v>1</v>
      </c>
      <c r="T2" s="200">
        <v>1</v>
      </c>
      <c r="U2" s="280">
        <v>1</v>
      </c>
      <c r="V2" s="280">
        <v>0</v>
      </c>
      <c r="W2" s="401" t="s">
        <v>113</v>
      </c>
      <c r="X2" s="212">
        <v>6</v>
      </c>
      <c r="Y2" s="212">
        <v>50</v>
      </c>
      <c r="Z2" s="212">
        <v>62</v>
      </c>
      <c r="AA2" s="212">
        <v>50</v>
      </c>
      <c r="AB2" s="7" t="s">
        <v>4</v>
      </c>
      <c r="AC2" s="7">
        <v>2</v>
      </c>
      <c r="AD2" s="270"/>
      <c r="AE2" s="270"/>
      <c r="AF2" s="212" t="s">
        <v>380</v>
      </c>
      <c r="AG2" s="729" t="s">
        <v>616</v>
      </c>
      <c r="AH2" s="674">
        <v>65.5</v>
      </c>
      <c r="AI2" s="730">
        <v>1</v>
      </c>
      <c r="AJ2" s="212" t="s">
        <v>207</v>
      </c>
      <c r="AK2" s="212">
        <v>0</v>
      </c>
    </row>
    <row r="3" spans="1:37" ht="15" x14ac:dyDescent="0.2">
      <c r="A3" s="278" t="s">
        <v>206</v>
      </c>
      <c r="B3" s="369"/>
      <c r="C3" s="212" t="s">
        <v>171</v>
      </c>
      <c r="D3" s="284" t="s">
        <v>223</v>
      </c>
      <c r="E3" s="453">
        <v>0</v>
      </c>
      <c r="F3" s="212" t="s">
        <v>471</v>
      </c>
      <c r="G3" s="212" t="s">
        <v>468</v>
      </c>
      <c r="H3" s="212" t="s">
        <v>510</v>
      </c>
      <c r="I3" s="437">
        <v>0</v>
      </c>
      <c r="J3" s="212" t="s">
        <v>163</v>
      </c>
      <c r="K3" s="212" t="s">
        <v>141</v>
      </c>
      <c r="L3" s="212" t="s">
        <v>485</v>
      </c>
      <c r="M3" s="370"/>
      <c r="N3" s="346"/>
      <c r="O3" s="279"/>
      <c r="P3" s="212" t="b">
        <f>IF('Purchase Order SCRAFT'!$X$79=L4,TRUE,FALSE)</f>
        <v>0</v>
      </c>
      <c r="Q3" s="212" t="s">
        <v>650</v>
      </c>
      <c r="S3" s="212">
        <v>12</v>
      </c>
      <c r="T3" s="200">
        <v>2</v>
      </c>
      <c r="U3" s="280">
        <v>0</v>
      </c>
      <c r="V3" s="280">
        <v>2</v>
      </c>
      <c r="W3" s="401" t="s">
        <v>112</v>
      </c>
      <c r="AB3" s="7" t="s">
        <v>6</v>
      </c>
      <c r="AC3" s="7">
        <v>1</v>
      </c>
      <c r="AD3" s="270"/>
      <c r="AE3" s="270"/>
      <c r="AF3" s="212" t="s">
        <v>169</v>
      </c>
      <c r="AG3" s="729" t="s">
        <v>617</v>
      </c>
      <c r="AH3" s="674">
        <v>65.5</v>
      </c>
      <c r="AI3" s="730"/>
      <c r="AJ3" s="212" t="s">
        <v>382</v>
      </c>
      <c r="AK3" s="212">
        <v>1</v>
      </c>
    </row>
    <row r="4" spans="1:37" ht="15" x14ac:dyDescent="0.2">
      <c r="A4" s="282" t="s">
        <v>208</v>
      </c>
      <c r="B4" s="369"/>
      <c r="C4" s="212" t="s">
        <v>284</v>
      </c>
      <c r="D4" s="301" t="s">
        <v>224</v>
      </c>
      <c r="E4" s="212">
        <f>13.8/1000</f>
        <v>1.3800000000000002E-2</v>
      </c>
      <c r="F4" s="212" t="s">
        <v>504</v>
      </c>
      <c r="G4" s="212" t="s">
        <v>297</v>
      </c>
      <c r="H4" s="212" t="s">
        <v>511</v>
      </c>
      <c r="I4" s="437">
        <v>0</v>
      </c>
      <c r="J4" s="212" t="s">
        <v>142</v>
      </c>
      <c r="K4" s="212" t="s">
        <v>164</v>
      </c>
      <c r="L4" s="212" t="s">
        <v>120</v>
      </c>
      <c r="M4" s="370">
        <v>90</v>
      </c>
      <c r="N4" s="370">
        <v>4800</v>
      </c>
      <c r="O4" s="281">
        <v>0</v>
      </c>
      <c r="S4" s="212">
        <v>14</v>
      </c>
      <c r="T4" s="200" t="s">
        <v>518</v>
      </c>
      <c r="U4" s="280">
        <v>1</v>
      </c>
      <c r="V4" s="280">
        <v>2</v>
      </c>
      <c r="W4" s="401" t="s">
        <v>114</v>
      </c>
      <c r="AB4" s="7" t="s">
        <v>5</v>
      </c>
      <c r="AC4" s="7">
        <v>1</v>
      </c>
      <c r="AD4" s="270"/>
      <c r="AE4" s="270"/>
      <c r="AG4" s="729" t="s">
        <v>644</v>
      </c>
      <c r="AH4" s="674">
        <v>65.5</v>
      </c>
      <c r="AI4" s="730"/>
      <c r="AJ4" s="212" t="s">
        <v>383</v>
      </c>
      <c r="AK4" s="212">
        <v>2</v>
      </c>
    </row>
    <row r="5" spans="1:37" ht="15" x14ac:dyDescent="0.2">
      <c r="A5" s="277" t="s">
        <v>207</v>
      </c>
      <c r="B5" s="272"/>
      <c r="D5" s="200" t="s">
        <v>219</v>
      </c>
      <c r="E5" s="453">
        <f>13.8/1000</f>
        <v>1.3800000000000002E-2</v>
      </c>
      <c r="F5" s="212" t="s">
        <v>505</v>
      </c>
      <c r="G5" s="212" t="s">
        <v>148</v>
      </c>
      <c r="H5" s="212" t="s">
        <v>509</v>
      </c>
      <c r="I5" s="437">
        <v>0</v>
      </c>
      <c r="L5" s="212" t="s">
        <v>486</v>
      </c>
      <c r="M5" s="371">
        <v>90</v>
      </c>
      <c r="N5" s="371">
        <v>4800</v>
      </c>
      <c r="O5" s="281"/>
      <c r="S5" s="212">
        <v>13</v>
      </c>
      <c r="T5" s="200">
        <v>3</v>
      </c>
      <c r="U5" s="280">
        <v>1</v>
      </c>
      <c r="V5" s="280">
        <v>2</v>
      </c>
      <c r="AB5" s="7" t="s">
        <v>175</v>
      </c>
      <c r="AC5" s="7">
        <v>1</v>
      </c>
      <c r="AD5" s="270"/>
      <c r="AE5" s="270"/>
      <c r="AG5" s="729" t="s">
        <v>618</v>
      </c>
      <c r="AH5" s="674">
        <v>65.5</v>
      </c>
      <c r="AI5" s="730"/>
      <c r="AJ5" s="212" t="s">
        <v>384</v>
      </c>
      <c r="AK5" s="212">
        <v>3</v>
      </c>
    </row>
    <row r="6" spans="1:37" ht="15" x14ac:dyDescent="0.2">
      <c r="D6" s="200" t="s">
        <v>220</v>
      </c>
      <c r="E6" s="453">
        <f>26.4/1000</f>
        <v>2.64E-2</v>
      </c>
      <c r="F6" s="212" t="s">
        <v>495</v>
      </c>
      <c r="G6" s="212" t="s">
        <v>534</v>
      </c>
      <c r="I6" s="437">
        <v>0</v>
      </c>
      <c r="S6" s="212">
        <v>15</v>
      </c>
      <c r="T6" s="200">
        <v>4</v>
      </c>
      <c r="U6" s="280">
        <v>2</v>
      </c>
      <c r="V6" s="280">
        <v>2</v>
      </c>
      <c r="AB6" s="7" t="s">
        <v>176</v>
      </c>
      <c r="AC6" s="7">
        <v>1</v>
      </c>
      <c r="AD6" s="270"/>
      <c r="AE6" s="270"/>
      <c r="AG6" s="729" t="s">
        <v>619</v>
      </c>
      <c r="AH6" s="674" t="s">
        <v>115</v>
      </c>
      <c r="AI6" s="730"/>
      <c r="AK6" s="212">
        <v>4</v>
      </c>
    </row>
    <row r="7" spans="1:37" ht="15" x14ac:dyDescent="0.2">
      <c r="D7" s="200" t="s">
        <v>274</v>
      </c>
      <c r="E7" s="453">
        <f>9.5/1000</f>
        <v>9.4999999999999998E-3</v>
      </c>
      <c r="F7" s="212" t="s">
        <v>506</v>
      </c>
      <c r="G7" s="212" t="s">
        <v>149</v>
      </c>
      <c r="H7" s="212" t="s">
        <v>512</v>
      </c>
      <c r="I7" s="437">
        <v>0</v>
      </c>
      <c r="S7" s="212">
        <v>0</v>
      </c>
      <c r="T7" s="356">
        <v>0</v>
      </c>
      <c r="U7" s="212">
        <v>0</v>
      </c>
      <c r="V7" s="212">
        <v>0</v>
      </c>
      <c r="AB7" s="7" t="s">
        <v>177</v>
      </c>
      <c r="AC7" s="7">
        <v>1</v>
      </c>
      <c r="AD7" s="270"/>
      <c r="AE7" s="270"/>
      <c r="AG7" s="729" t="s">
        <v>620</v>
      </c>
      <c r="AH7" s="674" t="s">
        <v>115</v>
      </c>
      <c r="AI7" s="730"/>
      <c r="AK7" s="212">
        <v>5</v>
      </c>
    </row>
    <row r="8" spans="1:37" ht="15" x14ac:dyDescent="0.2">
      <c r="D8" s="200" t="s">
        <v>482</v>
      </c>
      <c r="E8" s="453">
        <f>9.5/1000</f>
        <v>9.4999999999999998E-3</v>
      </c>
      <c r="F8" s="212" t="s">
        <v>575</v>
      </c>
      <c r="G8" s="212" t="s">
        <v>546</v>
      </c>
      <c r="I8" s="437">
        <v>0</v>
      </c>
      <c r="S8" s="212">
        <v>4</v>
      </c>
      <c r="T8" s="674" t="s">
        <v>519</v>
      </c>
      <c r="U8" s="212">
        <v>0</v>
      </c>
      <c r="V8" s="212">
        <v>1</v>
      </c>
      <c r="AB8" s="7" t="s">
        <v>183</v>
      </c>
      <c r="AC8" s="7">
        <v>1</v>
      </c>
      <c r="AD8" s="270"/>
      <c r="AE8" s="270"/>
      <c r="AG8" s="729" t="s">
        <v>621</v>
      </c>
      <c r="AH8" s="674" t="s">
        <v>115</v>
      </c>
      <c r="AI8" s="730"/>
      <c r="AK8" s="212">
        <v>6</v>
      </c>
    </row>
    <row r="9" spans="1:37" ht="24" x14ac:dyDescent="0.2">
      <c r="D9" s="301" t="s">
        <v>225</v>
      </c>
      <c r="E9" s="301">
        <v>0</v>
      </c>
      <c r="F9" s="212" t="s">
        <v>551</v>
      </c>
      <c r="G9" s="212" t="s">
        <v>546</v>
      </c>
      <c r="M9" s="454">
        <v>40482</v>
      </c>
      <c r="S9" s="212">
        <v>8</v>
      </c>
      <c r="T9" s="212" t="s">
        <v>520</v>
      </c>
      <c r="U9" s="212">
        <v>0</v>
      </c>
      <c r="V9" s="212">
        <v>1</v>
      </c>
      <c r="AB9" s="7" t="s">
        <v>182</v>
      </c>
      <c r="AC9" s="7">
        <v>1</v>
      </c>
      <c r="AD9" s="270"/>
      <c r="AE9" s="270"/>
      <c r="AG9" s="729" t="s">
        <v>622</v>
      </c>
      <c r="AH9" s="674" t="s">
        <v>115</v>
      </c>
      <c r="AI9" s="730"/>
      <c r="AK9" s="212">
        <v>7</v>
      </c>
    </row>
    <row r="10" spans="1:37" ht="15" x14ac:dyDescent="0.2">
      <c r="D10" s="200" t="s">
        <v>278</v>
      </c>
      <c r="E10" s="453">
        <v>0</v>
      </c>
      <c r="F10" s="212" t="s">
        <v>286</v>
      </c>
      <c r="G10" s="212" t="s">
        <v>147</v>
      </c>
      <c r="M10" s="454">
        <v>40508</v>
      </c>
      <c r="S10" s="212">
        <v>2</v>
      </c>
      <c r="T10" s="674" t="s">
        <v>521</v>
      </c>
      <c r="U10" s="212">
        <v>1</v>
      </c>
      <c r="V10" s="212">
        <v>0</v>
      </c>
      <c r="AB10" s="7" t="s">
        <v>184</v>
      </c>
      <c r="AC10" s="7">
        <v>1</v>
      </c>
      <c r="AD10" s="270"/>
      <c r="AE10" s="270"/>
      <c r="AG10" s="729" t="s">
        <v>623</v>
      </c>
      <c r="AH10" s="674">
        <v>65.5</v>
      </c>
      <c r="AI10" s="730"/>
      <c r="AK10" s="212">
        <v>8</v>
      </c>
    </row>
    <row r="11" spans="1:37" ht="15" x14ac:dyDescent="0.2">
      <c r="D11" s="301" t="s">
        <v>226</v>
      </c>
      <c r="E11" s="453">
        <f>13.8/1000</f>
        <v>1.3800000000000002E-2</v>
      </c>
      <c r="F11" s="212" t="s">
        <v>285</v>
      </c>
      <c r="G11" s="212" t="s">
        <v>484</v>
      </c>
      <c r="S11" s="212">
        <v>3</v>
      </c>
      <c r="T11" s="674" t="s">
        <v>517</v>
      </c>
      <c r="U11" s="212">
        <v>2</v>
      </c>
      <c r="V11" s="212">
        <v>0</v>
      </c>
      <c r="AB11" s="7" t="s">
        <v>185</v>
      </c>
      <c r="AC11" s="7">
        <v>1</v>
      </c>
      <c r="AD11" s="270"/>
      <c r="AE11" s="270"/>
      <c r="AG11" s="729" t="s">
        <v>624</v>
      </c>
      <c r="AH11" s="674">
        <v>65.5</v>
      </c>
      <c r="AI11" s="730"/>
      <c r="AK11" s="212">
        <v>9</v>
      </c>
    </row>
    <row r="12" spans="1:37" ht="15" x14ac:dyDescent="0.2">
      <c r="D12" s="200" t="s">
        <v>279</v>
      </c>
      <c r="E12" s="453">
        <f>13.8/1000</f>
        <v>1.3800000000000002E-2</v>
      </c>
      <c r="F12" s="212" t="s">
        <v>507</v>
      </c>
      <c r="G12" s="212" t="s">
        <v>508</v>
      </c>
      <c r="S12" s="212">
        <v>5</v>
      </c>
      <c r="T12" s="674" t="s">
        <v>522</v>
      </c>
      <c r="U12" s="212">
        <v>1</v>
      </c>
      <c r="V12" s="212">
        <v>1</v>
      </c>
      <c r="AB12" s="7" t="s">
        <v>186</v>
      </c>
      <c r="AC12" s="7">
        <v>1</v>
      </c>
      <c r="AD12" s="270"/>
      <c r="AE12" s="270"/>
      <c r="AG12" s="729" t="s">
        <v>625</v>
      </c>
      <c r="AH12" s="674">
        <v>65.5</v>
      </c>
      <c r="AI12" s="730">
        <v>1</v>
      </c>
      <c r="AK12" s="212">
        <v>10</v>
      </c>
    </row>
    <row r="13" spans="1:37" ht="15" x14ac:dyDescent="0.2">
      <c r="D13" s="200" t="s">
        <v>227</v>
      </c>
      <c r="E13" s="453">
        <f>26.4/1000</f>
        <v>2.64E-2</v>
      </c>
      <c r="F13" s="212" t="s">
        <v>429</v>
      </c>
      <c r="G13" s="212" t="s">
        <v>430</v>
      </c>
      <c r="S13" s="212">
        <v>9</v>
      </c>
      <c r="T13" s="212" t="s">
        <v>523</v>
      </c>
      <c r="U13" s="212">
        <v>1</v>
      </c>
      <c r="V13" s="212">
        <v>1</v>
      </c>
      <c r="AB13" s="7" t="s">
        <v>187</v>
      </c>
      <c r="AC13" s="7">
        <v>1</v>
      </c>
      <c r="AD13" s="270"/>
      <c r="AE13" s="270"/>
      <c r="AG13" s="729" t="s">
        <v>648</v>
      </c>
      <c r="AH13" s="674">
        <v>65.5</v>
      </c>
      <c r="AI13" s="730"/>
      <c r="AK13" s="212">
        <v>11</v>
      </c>
    </row>
    <row r="14" spans="1:37" ht="15" x14ac:dyDescent="0.2">
      <c r="D14" s="200" t="s">
        <v>273</v>
      </c>
      <c r="E14" s="453">
        <v>0</v>
      </c>
      <c r="S14" s="212">
        <v>6</v>
      </c>
      <c r="T14" s="212" t="s">
        <v>524</v>
      </c>
      <c r="U14" s="212">
        <v>1</v>
      </c>
      <c r="V14" s="212">
        <v>1</v>
      </c>
      <c r="AB14" s="7" t="s">
        <v>342</v>
      </c>
      <c r="AC14" s="7">
        <v>1</v>
      </c>
      <c r="AD14" s="270"/>
      <c r="AE14" s="270"/>
      <c r="AG14" s="729" t="s">
        <v>626</v>
      </c>
      <c r="AH14" s="674">
        <v>65.5</v>
      </c>
      <c r="AI14" s="730">
        <v>1</v>
      </c>
      <c r="AK14" s="212">
        <v>12</v>
      </c>
    </row>
    <row r="15" spans="1:37" ht="15" x14ac:dyDescent="0.2">
      <c r="D15" s="200" t="s">
        <v>423</v>
      </c>
      <c r="E15" s="453">
        <v>0</v>
      </c>
      <c r="S15" s="212">
        <v>10</v>
      </c>
      <c r="T15" s="212" t="s">
        <v>525</v>
      </c>
      <c r="U15" s="212">
        <v>1</v>
      </c>
      <c r="V15" s="212">
        <v>1</v>
      </c>
      <c r="AB15" s="7" t="s">
        <v>343</v>
      </c>
      <c r="AC15" s="7">
        <v>1</v>
      </c>
      <c r="AD15" s="270"/>
      <c r="AE15" s="270"/>
      <c r="AG15" s="729" t="s">
        <v>627</v>
      </c>
      <c r="AH15" s="674">
        <v>65.5</v>
      </c>
      <c r="AI15" s="730">
        <v>1</v>
      </c>
      <c r="AK15" s="212">
        <v>13</v>
      </c>
    </row>
    <row r="16" spans="1:37" ht="15" x14ac:dyDescent="0.2">
      <c r="D16" s="200" t="s">
        <v>828</v>
      </c>
      <c r="E16" s="453">
        <f>29.7/1000</f>
        <v>2.9700000000000001E-2</v>
      </c>
      <c r="G16" s="533">
        <v>41394</v>
      </c>
      <c r="S16" s="212">
        <v>7</v>
      </c>
      <c r="T16" s="212" t="s">
        <v>526</v>
      </c>
      <c r="U16" s="212">
        <v>2</v>
      </c>
      <c r="V16" s="212">
        <v>1</v>
      </c>
      <c r="AB16" s="7" t="s">
        <v>344</v>
      </c>
      <c r="AC16" s="7">
        <v>1</v>
      </c>
      <c r="AD16" s="270"/>
      <c r="AE16" s="270"/>
      <c r="AG16" s="729" t="s">
        <v>628</v>
      </c>
      <c r="AH16" s="674">
        <v>65.5</v>
      </c>
      <c r="AI16" s="730"/>
      <c r="AK16" s="212">
        <v>14</v>
      </c>
    </row>
    <row r="17" spans="4:37" ht="15" x14ac:dyDescent="0.2">
      <c r="D17" s="200" t="s">
        <v>212</v>
      </c>
      <c r="E17" s="453">
        <v>0</v>
      </c>
      <c r="S17" s="212">
        <v>11</v>
      </c>
      <c r="T17" s="212" t="s">
        <v>527</v>
      </c>
      <c r="U17" s="212">
        <v>2</v>
      </c>
      <c r="V17" s="212">
        <v>1</v>
      </c>
      <c r="AB17" s="280" t="s">
        <v>552</v>
      </c>
      <c r="AC17" s="7">
        <v>1</v>
      </c>
      <c r="AD17" s="270"/>
      <c r="AE17" s="270"/>
      <c r="AG17" s="729" t="s">
        <v>629</v>
      </c>
      <c r="AH17" s="674">
        <v>65.5</v>
      </c>
      <c r="AI17" s="730"/>
      <c r="AK17" s="212">
        <v>15</v>
      </c>
    </row>
    <row r="18" spans="4:37" ht="15" x14ac:dyDescent="0.2">
      <c r="D18" s="200" t="s">
        <v>275</v>
      </c>
      <c r="E18" s="453">
        <v>0</v>
      </c>
      <c r="AB18" s="280" t="s">
        <v>566</v>
      </c>
      <c r="AC18" s="7">
        <v>1</v>
      </c>
      <c r="AD18" s="270"/>
      <c r="AE18" s="270"/>
      <c r="AG18" s="729" t="s">
        <v>630</v>
      </c>
      <c r="AH18" s="674">
        <v>65.5</v>
      </c>
      <c r="AI18" s="730">
        <v>1</v>
      </c>
      <c r="AK18" s="212">
        <v>16</v>
      </c>
    </row>
    <row r="19" spans="4:37" ht="15" x14ac:dyDescent="0.2">
      <c r="D19" s="200" t="s">
        <v>276</v>
      </c>
      <c r="E19" s="453">
        <f>13.8/1000</f>
        <v>1.3800000000000002E-2</v>
      </c>
      <c r="AB19" s="280" t="s">
        <v>554</v>
      </c>
      <c r="AC19" s="7">
        <v>1</v>
      </c>
      <c r="AD19" s="270"/>
      <c r="AE19" s="270"/>
      <c r="AG19" s="729" t="s">
        <v>631</v>
      </c>
      <c r="AH19" s="674">
        <v>65.5</v>
      </c>
      <c r="AI19" s="730"/>
      <c r="AK19" s="212">
        <v>17</v>
      </c>
    </row>
    <row r="20" spans="4:37" ht="15" x14ac:dyDescent="0.2">
      <c r="D20" s="200" t="s">
        <v>277</v>
      </c>
      <c r="E20" s="453">
        <f>26.4/1000</f>
        <v>2.64E-2</v>
      </c>
      <c r="AB20" s="280" t="s">
        <v>567</v>
      </c>
      <c r="AC20" s="7">
        <v>1</v>
      </c>
      <c r="AD20" s="270"/>
      <c r="AE20" s="270"/>
      <c r="AG20" s="729" t="s">
        <v>632</v>
      </c>
      <c r="AH20" s="674">
        <v>65.5</v>
      </c>
      <c r="AI20" s="730"/>
      <c r="AK20" s="212">
        <v>18</v>
      </c>
    </row>
    <row r="21" spans="4:37" ht="15" x14ac:dyDescent="0.2">
      <c r="D21" s="200" t="s">
        <v>221</v>
      </c>
      <c r="E21" s="453">
        <f>54/1000</f>
        <v>5.3999999999999999E-2</v>
      </c>
      <c r="AB21" s="280" t="s">
        <v>553</v>
      </c>
      <c r="AC21" s="7">
        <v>1</v>
      </c>
      <c r="AD21" s="270"/>
      <c r="AE21" s="270"/>
      <c r="AG21" s="729" t="s">
        <v>633</v>
      </c>
      <c r="AH21" s="674">
        <v>65.5</v>
      </c>
      <c r="AI21" s="730">
        <v>1</v>
      </c>
      <c r="AK21" s="212">
        <v>19</v>
      </c>
    </row>
    <row r="22" spans="4:37" ht="15" x14ac:dyDescent="0.2">
      <c r="D22" s="200" t="s">
        <v>221</v>
      </c>
      <c r="E22" s="453">
        <f>54/1000</f>
        <v>5.3999999999999999E-2</v>
      </c>
      <c r="J22" s="301"/>
      <c r="AB22" s="280" t="s">
        <v>555</v>
      </c>
      <c r="AC22" s="7">
        <v>1</v>
      </c>
      <c r="AD22" s="270"/>
      <c r="AE22" s="270"/>
      <c r="AG22" s="729" t="s">
        <v>634</v>
      </c>
      <c r="AH22" s="674">
        <v>65.5</v>
      </c>
      <c r="AI22" s="730">
        <v>1</v>
      </c>
      <c r="AK22" s="212">
        <v>20</v>
      </c>
    </row>
    <row r="23" spans="4:37" ht="15" x14ac:dyDescent="0.2">
      <c r="D23" s="200" t="s">
        <v>830</v>
      </c>
      <c r="E23" s="453">
        <f>67.8/1000</f>
        <v>6.7799999999999999E-2</v>
      </c>
      <c r="J23" s="301"/>
      <c r="AB23" s="280" t="s">
        <v>568</v>
      </c>
      <c r="AC23" s="7">
        <v>1</v>
      </c>
      <c r="AD23" s="270"/>
      <c r="AE23" s="270"/>
      <c r="AG23" s="729" t="s">
        <v>645</v>
      </c>
      <c r="AH23" s="674">
        <v>65.5</v>
      </c>
      <c r="AI23" s="730"/>
      <c r="AK23" s="212">
        <v>21</v>
      </c>
    </row>
    <row r="24" spans="4:37" ht="15" x14ac:dyDescent="0.2">
      <c r="D24" s="200" t="s">
        <v>230</v>
      </c>
      <c r="E24" s="287">
        <v>0</v>
      </c>
      <c r="J24" s="421"/>
      <c r="AB24" s="280" t="s">
        <v>556</v>
      </c>
      <c r="AC24" s="7">
        <v>1</v>
      </c>
      <c r="AD24" s="270"/>
      <c r="AE24" s="270"/>
      <c r="AG24" s="729" t="s">
        <v>646</v>
      </c>
      <c r="AH24" s="674">
        <v>65.5</v>
      </c>
      <c r="AI24" s="730"/>
      <c r="AK24" s="212">
        <v>22</v>
      </c>
    </row>
    <row r="25" spans="4:37" ht="15" x14ac:dyDescent="0.2">
      <c r="D25" s="200" t="s">
        <v>424</v>
      </c>
      <c r="E25" s="287">
        <v>0</v>
      </c>
      <c r="J25" s="421"/>
      <c r="AB25" s="280" t="s">
        <v>569</v>
      </c>
      <c r="AC25" s="7">
        <v>1</v>
      </c>
      <c r="AD25" s="270"/>
      <c r="AE25" s="270"/>
      <c r="AG25" s="729" t="s">
        <v>647</v>
      </c>
      <c r="AH25" s="674">
        <v>65.5</v>
      </c>
      <c r="AI25" s="730"/>
      <c r="AK25" s="212">
        <v>23</v>
      </c>
    </row>
    <row r="26" spans="4:37" ht="15.75" thickBot="1" x14ac:dyDescent="0.25">
      <c r="D26" s="367" t="s">
        <v>280</v>
      </c>
      <c r="E26" s="147">
        <v>0</v>
      </c>
      <c r="J26" s="421"/>
      <c r="AB26" s="280" t="s">
        <v>557</v>
      </c>
      <c r="AC26" s="7">
        <v>1</v>
      </c>
      <c r="AD26" s="270"/>
      <c r="AE26" s="270"/>
      <c r="AG26" s="732" t="s">
        <v>635</v>
      </c>
      <c r="AH26" s="731">
        <v>65.5</v>
      </c>
      <c r="AI26" s="331">
        <v>1</v>
      </c>
      <c r="AK26" s="212">
        <v>24</v>
      </c>
    </row>
    <row r="27" spans="4:37" ht="12.75" x14ac:dyDescent="0.2">
      <c r="D27" s="367" t="s">
        <v>475</v>
      </c>
      <c r="E27" s="147">
        <v>0</v>
      </c>
      <c r="J27" s="421"/>
      <c r="AB27" s="280" t="s">
        <v>570</v>
      </c>
      <c r="AC27" s="7">
        <v>1</v>
      </c>
      <c r="AD27" s="270"/>
      <c r="AE27" s="270"/>
      <c r="AK27" s="212">
        <v>25</v>
      </c>
    </row>
    <row r="28" spans="4:37" ht="12.75" x14ac:dyDescent="0.2">
      <c r="D28" s="421" t="s">
        <v>389</v>
      </c>
      <c r="E28" s="147">
        <v>0</v>
      </c>
      <c r="J28" s="421"/>
      <c r="AB28" s="280" t="s">
        <v>558</v>
      </c>
      <c r="AC28" s="7">
        <v>1</v>
      </c>
      <c r="AD28" s="270"/>
      <c r="AE28" s="270"/>
      <c r="AK28" s="212">
        <v>26</v>
      </c>
    </row>
    <row r="29" spans="4:37" x14ac:dyDescent="0.2">
      <c r="D29" s="200" t="s">
        <v>213</v>
      </c>
      <c r="E29" s="453">
        <v>0</v>
      </c>
      <c r="J29" s="421"/>
      <c r="AB29" s="280" t="s">
        <v>571</v>
      </c>
      <c r="AC29" s="7">
        <v>1</v>
      </c>
      <c r="AD29" s="270"/>
      <c r="AE29" s="270"/>
      <c r="AK29" s="212">
        <v>27</v>
      </c>
    </row>
    <row r="30" spans="4:37" x14ac:dyDescent="0.2">
      <c r="D30" s="200" t="s">
        <v>370</v>
      </c>
      <c r="E30" s="453">
        <f>19.1/1000</f>
        <v>1.9100000000000002E-2</v>
      </c>
      <c r="J30" s="421"/>
      <c r="AB30" s="280" t="s">
        <v>559</v>
      </c>
      <c r="AC30" s="7">
        <v>1</v>
      </c>
      <c r="AD30" s="270"/>
      <c r="AE30" s="270"/>
      <c r="AK30" s="212">
        <v>28</v>
      </c>
    </row>
    <row r="31" spans="4:37" x14ac:dyDescent="0.2">
      <c r="D31" s="200" t="s">
        <v>214</v>
      </c>
      <c r="E31" s="453">
        <f>19.1/1000</f>
        <v>1.9100000000000002E-2</v>
      </c>
      <c r="AB31" s="280" t="s">
        <v>560</v>
      </c>
      <c r="AC31" s="7">
        <v>1</v>
      </c>
      <c r="AD31" s="270"/>
      <c r="AE31" s="270"/>
      <c r="AK31" s="212">
        <v>29</v>
      </c>
    </row>
    <row r="32" spans="4:37" x14ac:dyDescent="0.2">
      <c r="D32" s="200" t="s">
        <v>371</v>
      </c>
      <c r="E32" s="453">
        <f>32.8/1000</f>
        <v>3.2799999999999996E-2</v>
      </c>
      <c r="AB32" s="280" t="s">
        <v>561</v>
      </c>
      <c r="AC32" s="7">
        <v>1</v>
      </c>
      <c r="AD32" s="270"/>
      <c r="AE32" s="270"/>
      <c r="AK32" s="212">
        <v>30</v>
      </c>
    </row>
    <row r="33" spans="1:31" x14ac:dyDescent="0.2">
      <c r="D33" s="200" t="s">
        <v>215</v>
      </c>
      <c r="E33" s="453">
        <f>32.8/1000</f>
        <v>3.2799999999999996E-2</v>
      </c>
      <c r="AB33" s="280" t="s">
        <v>572</v>
      </c>
      <c r="AC33" s="7">
        <v>1</v>
      </c>
      <c r="AD33" s="270"/>
      <c r="AE33" s="270"/>
    </row>
    <row r="34" spans="1:31" x14ac:dyDescent="0.2">
      <c r="D34" s="200" t="s">
        <v>216</v>
      </c>
      <c r="E34" s="453">
        <f>45.5/1000</f>
        <v>4.5499999999999999E-2</v>
      </c>
      <c r="AB34" s="280" t="s">
        <v>562</v>
      </c>
      <c r="AC34" s="7">
        <v>1</v>
      </c>
      <c r="AD34" s="270"/>
      <c r="AE34" s="270"/>
    </row>
    <row r="35" spans="1:31" x14ac:dyDescent="0.2">
      <c r="A35" s="533">
        <v>40633</v>
      </c>
      <c r="D35" s="301" t="s">
        <v>228</v>
      </c>
      <c r="E35" s="287">
        <v>0</v>
      </c>
      <c r="AB35" s="280" t="s">
        <v>563</v>
      </c>
      <c r="AC35" s="7">
        <v>2</v>
      </c>
      <c r="AD35" s="270"/>
      <c r="AE35" s="270"/>
    </row>
    <row r="36" spans="1:31" x14ac:dyDescent="0.2">
      <c r="D36" s="284" t="s">
        <v>209</v>
      </c>
      <c r="E36" s="453">
        <v>0</v>
      </c>
      <c r="AB36" s="280" t="s">
        <v>573</v>
      </c>
      <c r="AC36" s="7">
        <v>2</v>
      </c>
      <c r="AD36" s="270"/>
      <c r="AE36" s="270"/>
    </row>
    <row r="37" spans="1:31" x14ac:dyDescent="0.2">
      <c r="D37" s="301" t="s">
        <v>229</v>
      </c>
      <c r="E37" s="453">
        <f>13.8/1000</f>
        <v>1.3800000000000002E-2</v>
      </c>
      <c r="AB37" s="280" t="s">
        <v>564</v>
      </c>
      <c r="AC37" s="7">
        <v>1</v>
      </c>
      <c r="AD37" s="270"/>
      <c r="AE37" s="270"/>
    </row>
    <row r="38" spans="1:31" x14ac:dyDescent="0.2">
      <c r="D38" s="200" t="s">
        <v>210</v>
      </c>
      <c r="E38" s="453">
        <f>13.8/1000</f>
        <v>1.3800000000000002E-2</v>
      </c>
      <c r="AB38" s="280" t="s">
        <v>565</v>
      </c>
      <c r="AC38" s="7">
        <v>2</v>
      </c>
      <c r="AD38" s="270"/>
      <c r="AE38" s="270"/>
    </row>
    <row r="39" spans="1:31" x14ac:dyDescent="0.2">
      <c r="D39" s="200" t="s">
        <v>211</v>
      </c>
      <c r="E39" s="453">
        <f>26.4/1000</f>
        <v>2.64E-2</v>
      </c>
      <c r="AB39" s="280" t="s">
        <v>574</v>
      </c>
      <c r="AC39" s="7">
        <v>2</v>
      </c>
      <c r="AD39" s="270"/>
      <c r="AE39" s="270"/>
    </row>
    <row r="40" spans="1:31" x14ac:dyDescent="0.2">
      <c r="D40" s="200" t="s">
        <v>80</v>
      </c>
      <c r="E40" s="453">
        <v>0</v>
      </c>
      <c r="AB40" s="280" t="s">
        <v>576</v>
      </c>
      <c r="AC40" s="7">
        <v>1</v>
      </c>
      <c r="AD40" s="270"/>
      <c r="AE40" s="270"/>
    </row>
    <row r="41" spans="1:31" x14ac:dyDescent="0.2">
      <c r="D41" s="200" t="s">
        <v>422</v>
      </c>
      <c r="E41" s="453">
        <v>0</v>
      </c>
      <c r="AB41" s="280" t="s">
        <v>577</v>
      </c>
      <c r="AC41" s="7">
        <v>1</v>
      </c>
      <c r="AD41" s="270"/>
      <c r="AE41" s="270"/>
    </row>
    <row r="42" spans="1:31" x14ac:dyDescent="0.2">
      <c r="D42" s="200" t="s">
        <v>472</v>
      </c>
      <c r="E42" s="453">
        <v>0</v>
      </c>
      <c r="AB42" s="280" t="s">
        <v>578</v>
      </c>
      <c r="AC42" s="7">
        <v>1</v>
      </c>
      <c r="AD42" s="270"/>
      <c r="AE42" s="270"/>
    </row>
    <row r="43" spans="1:31" x14ac:dyDescent="0.2">
      <c r="D43" s="200" t="s">
        <v>433</v>
      </c>
      <c r="E43" s="453">
        <v>1.38E-2</v>
      </c>
      <c r="AB43" s="280" t="s">
        <v>579</v>
      </c>
      <c r="AC43" s="7">
        <v>1</v>
      </c>
      <c r="AD43" s="270"/>
      <c r="AE43" s="270"/>
    </row>
    <row r="44" spans="1:31" x14ac:dyDescent="0.2">
      <c r="D44" s="200" t="s">
        <v>432</v>
      </c>
      <c r="E44" s="453">
        <v>1.38E-2</v>
      </c>
      <c r="AB44" s="280" t="s">
        <v>580</v>
      </c>
      <c r="AC44" s="7">
        <v>1</v>
      </c>
      <c r="AD44" s="270"/>
      <c r="AE44" s="270"/>
    </row>
    <row r="45" spans="1:31" x14ac:dyDescent="0.2">
      <c r="D45" s="481" t="s">
        <v>831</v>
      </c>
      <c r="E45" s="283">
        <v>1.38E-2</v>
      </c>
      <c r="AB45" s="280" t="s">
        <v>581</v>
      </c>
      <c r="AC45" s="7">
        <v>1</v>
      </c>
      <c r="AD45" s="270"/>
      <c r="AE45" s="270"/>
    </row>
    <row r="46" spans="1:31" x14ac:dyDescent="0.2">
      <c r="D46" s="200" t="s">
        <v>386</v>
      </c>
      <c r="E46" s="453">
        <f>13.8/1000</f>
        <v>1.3800000000000002E-2</v>
      </c>
      <c r="AB46" s="280" t="s">
        <v>582</v>
      </c>
      <c r="AC46" s="7">
        <v>1</v>
      </c>
      <c r="AD46" s="270"/>
      <c r="AE46" s="270"/>
    </row>
    <row r="47" spans="1:31" x14ac:dyDescent="0.2">
      <c r="D47" s="200" t="s">
        <v>829</v>
      </c>
      <c r="E47" s="453">
        <v>0</v>
      </c>
      <c r="AB47" s="280" t="s">
        <v>583</v>
      </c>
      <c r="AC47" s="7">
        <v>1</v>
      </c>
      <c r="AD47" s="270"/>
      <c r="AE47" s="270"/>
    </row>
    <row r="48" spans="1:31" x14ac:dyDescent="0.2">
      <c r="D48" s="200" t="s">
        <v>222</v>
      </c>
      <c r="E48" s="453">
        <f>286/1000</f>
        <v>0.28599999999999998</v>
      </c>
      <c r="AB48" s="280" t="s">
        <v>584</v>
      </c>
      <c r="AC48" s="7">
        <v>1</v>
      </c>
      <c r="AD48" s="270"/>
      <c r="AE48" s="270"/>
    </row>
    <row r="49" spans="4:35" x14ac:dyDescent="0.2">
      <c r="D49" s="474" t="s">
        <v>354</v>
      </c>
      <c r="E49" s="453">
        <f t="shared" ref="E49:E71" si="0">45.5/1000</f>
        <v>4.5499999999999999E-2</v>
      </c>
      <c r="AB49" s="280" t="s">
        <v>585</v>
      </c>
      <c r="AC49" s="7">
        <v>1</v>
      </c>
      <c r="AD49" s="270"/>
      <c r="AE49" s="270"/>
    </row>
    <row r="50" spans="4:35" x14ac:dyDescent="0.2">
      <c r="D50" s="474" t="s">
        <v>355</v>
      </c>
      <c r="E50" s="453">
        <f t="shared" si="0"/>
        <v>4.5499999999999999E-2</v>
      </c>
      <c r="AB50" s="280" t="s">
        <v>586</v>
      </c>
      <c r="AC50" s="7">
        <v>1</v>
      </c>
      <c r="AD50" s="270"/>
      <c r="AE50" s="270"/>
    </row>
    <row r="51" spans="4:35" x14ac:dyDescent="0.2">
      <c r="D51" s="477" t="s">
        <v>356</v>
      </c>
      <c r="E51" s="453">
        <f t="shared" si="0"/>
        <v>4.5499999999999999E-2</v>
      </c>
      <c r="AB51" s="280" t="s">
        <v>587</v>
      </c>
      <c r="AC51" s="7">
        <v>2</v>
      </c>
      <c r="AD51" s="270"/>
      <c r="AE51" s="270"/>
    </row>
    <row r="52" spans="4:35" x14ac:dyDescent="0.2">
      <c r="D52" s="477" t="s">
        <v>357</v>
      </c>
      <c r="E52" s="453">
        <f t="shared" si="0"/>
        <v>4.5499999999999999E-2</v>
      </c>
      <c r="AB52" s="280" t="s">
        <v>588</v>
      </c>
      <c r="AC52" s="7">
        <v>2</v>
      </c>
      <c r="AD52" s="270"/>
      <c r="AE52" s="270"/>
    </row>
    <row r="53" spans="4:35" x14ac:dyDescent="0.2">
      <c r="D53" s="477" t="s">
        <v>358</v>
      </c>
      <c r="E53" s="453">
        <f t="shared" si="0"/>
        <v>4.5499999999999999E-2</v>
      </c>
      <c r="AB53" s="280" t="s">
        <v>589</v>
      </c>
      <c r="AC53" s="7">
        <v>1</v>
      </c>
      <c r="AD53" s="270"/>
      <c r="AE53" s="270"/>
    </row>
    <row r="54" spans="4:35" x14ac:dyDescent="0.2">
      <c r="D54" s="477" t="s">
        <v>359</v>
      </c>
      <c r="E54" s="453">
        <f t="shared" si="0"/>
        <v>4.5499999999999999E-2</v>
      </c>
      <c r="AB54" s="212" t="s">
        <v>547</v>
      </c>
      <c r="AC54" s="7">
        <v>1</v>
      </c>
      <c r="AD54" s="270"/>
      <c r="AE54" s="270"/>
    </row>
    <row r="55" spans="4:35" x14ac:dyDescent="0.2">
      <c r="D55" s="477" t="s">
        <v>360</v>
      </c>
      <c r="E55" s="453">
        <f t="shared" si="0"/>
        <v>4.5499999999999999E-2</v>
      </c>
      <c r="AB55" s="212" t="s">
        <v>548</v>
      </c>
      <c r="AC55" s="7">
        <v>1</v>
      </c>
      <c r="AD55" s="270"/>
      <c r="AE55" s="270"/>
    </row>
    <row r="56" spans="4:35" x14ac:dyDescent="0.2">
      <c r="D56" s="477" t="s">
        <v>361</v>
      </c>
      <c r="E56" s="453">
        <f t="shared" si="0"/>
        <v>4.5499999999999999E-2</v>
      </c>
      <c r="AB56" s="212" t="s">
        <v>549</v>
      </c>
      <c r="AC56" s="7">
        <v>1</v>
      </c>
      <c r="AD56" s="270"/>
      <c r="AE56" s="270"/>
    </row>
    <row r="57" spans="4:35" ht="15" x14ac:dyDescent="0.2">
      <c r="D57" s="477" t="s">
        <v>362</v>
      </c>
      <c r="E57" s="453">
        <f t="shared" si="0"/>
        <v>4.5499999999999999E-2</v>
      </c>
      <c r="AB57" s="729" t="s">
        <v>616</v>
      </c>
      <c r="AC57" s="674">
        <v>1</v>
      </c>
      <c r="AD57" s="674">
        <v>65.5</v>
      </c>
      <c r="AE57" s="674">
        <v>1</v>
      </c>
      <c r="AF57" s="730"/>
    </row>
    <row r="58" spans="4:35" ht="15" x14ac:dyDescent="0.2">
      <c r="D58" s="477" t="s">
        <v>363</v>
      </c>
      <c r="E58" s="453">
        <f t="shared" si="0"/>
        <v>4.5499999999999999E-2</v>
      </c>
      <c r="AB58" s="729" t="s">
        <v>617</v>
      </c>
      <c r="AC58" s="674">
        <v>1</v>
      </c>
      <c r="AD58" s="674">
        <v>65.5</v>
      </c>
      <c r="AE58" s="674"/>
      <c r="AF58" s="730"/>
    </row>
    <row r="59" spans="4:35" ht="24" x14ac:dyDescent="0.2">
      <c r="D59" s="477" t="s">
        <v>364</v>
      </c>
      <c r="E59" s="453">
        <f t="shared" si="0"/>
        <v>4.5499999999999999E-2</v>
      </c>
      <c r="AB59" s="729" t="s">
        <v>644</v>
      </c>
      <c r="AC59" s="674">
        <v>1</v>
      </c>
      <c r="AD59" s="674">
        <v>65.5</v>
      </c>
      <c r="AE59" s="674"/>
      <c r="AF59" s="730"/>
    </row>
    <row r="60" spans="4:35" ht="15" x14ac:dyDescent="0.2">
      <c r="D60" s="477" t="s">
        <v>365</v>
      </c>
      <c r="E60" s="453">
        <f t="shared" si="0"/>
        <v>4.5499999999999999E-2</v>
      </c>
      <c r="AB60" s="729" t="s">
        <v>618</v>
      </c>
      <c r="AC60" s="674">
        <v>1</v>
      </c>
      <c r="AD60" s="674">
        <v>65.5</v>
      </c>
      <c r="AE60" s="674"/>
      <c r="AF60" s="730"/>
      <c r="AG60" s="496"/>
      <c r="AH60" s="496"/>
      <c r="AI60" s="496"/>
    </row>
    <row r="61" spans="4:35" ht="15" x14ac:dyDescent="0.2">
      <c r="D61" s="477" t="s">
        <v>366</v>
      </c>
      <c r="E61" s="453">
        <f t="shared" si="0"/>
        <v>4.5499999999999999E-2</v>
      </c>
      <c r="AB61" s="729" t="s">
        <v>619</v>
      </c>
      <c r="AC61" s="674">
        <v>1</v>
      </c>
      <c r="AD61" s="674" t="s">
        <v>115</v>
      </c>
      <c r="AE61" s="674"/>
      <c r="AF61" s="730"/>
      <c r="AG61" s="270"/>
      <c r="AH61" s="270"/>
      <c r="AI61" s="270"/>
    </row>
    <row r="62" spans="4:35" ht="15" x14ac:dyDescent="0.2">
      <c r="D62" s="477" t="s">
        <v>367</v>
      </c>
      <c r="E62" s="453">
        <f t="shared" si="0"/>
        <v>4.5499999999999999E-2</v>
      </c>
      <c r="AB62" s="729" t="s">
        <v>620</v>
      </c>
      <c r="AC62" s="674">
        <v>1</v>
      </c>
      <c r="AD62" s="674" t="s">
        <v>115</v>
      </c>
      <c r="AE62" s="674"/>
      <c r="AF62" s="730"/>
      <c r="AG62" s="270"/>
      <c r="AH62" s="270"/>
      <c r="AI62" s="270"/>
    </row>
    <row r="63" spans="4:35" ht="15" x14ac:dyDescent="0.2">
      <c r="D63" s="478" t="s">
        <v>368</v>
      </c>
      <c r="E63" s="453">
        <f t="shared" si="0"/>
        <v>4.5499999999999999E-2</v>
      </c>
      <c r="AB63" s="729" t="s">
        <v>621</v>
      </c>
      <c r="AC63" s="674">
        <v>1</v>
      </c>
      <c r="AD63" s="674" t="s">
        <v>115</v>
      </c>
      <c r="AE63" s="674"/>
      <c r="AF63" s="730"/>
      <c r="AG63" s="270"/>
      <c r="AH63" s="270"/>
      <c r="AI63" s="270"/>
    </row>
    <row r="64" spans="4:35" ht="15" x14ac:dyDescent="0.2">
      <c r="D64" s="478" t="s">
        <v>369</v>
      </c>
      <c r="E64" s="453">
        <f t="shared" si="0"/>
        <v>4.5499999999999999E-2</v>
      </c>
      <c r="AB64" s="729" t="s">
        <v>622</v>
      </c>
      <c r="AC64" s="674">
        <v>1</v>
      </c>
      <c r="AD64" s="674" t="s">
        <v>115</v>
      </c>
      <c r="AE64" s="674"/>
      <c r="AF64" s="730"/>
      <c r="AG64" s="270"/>
      <c r="AH64" s="270"/>
      <c r="AI64" s="270"/>
    </row>
    <row r="65" spans="4:35" ht="15" x14ac:dyDescent="0.2">
      <c r="D65" s="356" t="s">
        <v>335</v>
      </c>
      <c r="E65" s="453">
        <f t="shared" si="0"/>
        <v>4.5499999999999999E-2</v>
      </c>
      <c r="AB65" s="729" t="s">
        <v>623</v>
      </c>
      <c r="AC65" s="674">
        <v>1</v>
      </c>
      <c r="AD65" s="674">
        <v>65.5</v>
      </c>
      <c r="AE65" s="674"/>
      <c r="AF65" s="730"/>
      <c r="AG65" s="270"/>
      <c r="AH65" s="270"/>
      <c r="AI65" s="270"/>
    </row>
    <row r="66" spans="4:35" ht="15" x14ac:dyDescent="0.2">
      <c r="D66" s="356" t="s">
        <v>336</v>
      </c>
      <c r="E66" s="453">
        <f t="shared" si="0"/>
        <v>4.5499999999999999E-2</v>
      </c>
      <c r="AB66" s="729" t="s">
        <v>624</v>
      </c>
      <c r="AC66" s="674">
        <v>1</v>
      </c>
      <c r="AD66" s="674">
        <v>65.5</v>
      </c>
      <c r="AE66" s="674"/>
      <c r="AF66" s="730"/>
      <c r="AG66" s="270"/>
      <c r="AH66" s="270"/>
      <c r="AI66" s="270"/>
    </row>
    <row r="67" spans="4:35" ht="15" x14ac:dyDescent="0.2">
      <c r="D67" s="356" t="s">
        <v>337</v>
      </c>
      <c r="E67" s="453">
        <f t="shared" si="0"/>
        <v>4.5499999999999999E-2</v>
      </c>
      <c r="AB67" s="729" t="s">
        <v>625</v>
      </c>
      <c r="AC67" s="674">
        <v>1</v>
      </c>
      <c r="AD67" s="674">
        <v>65.5</v>
      </c>
      <c r="AE67" s="674">
        <v>1</v>
      </c>
      <c r="AF67" s="730"/>
    </row>
    <row r="68" spans="4:35" ht="24" x14ac:dyDescent="0.2">
      <c r="D68" s="356" t="s">
        <v>338</v>
      </c>
      <c r="E68" s="453">
        <f t="shared" si="0"/>
        <v>4.5499999999999999E-2</v>
      </c>
      <c r="AB68" s="729" t="s">
        <v>648</v>
      </c>
      <c r="AC68" s="674">
        <v>1</v>
      </c>
      <c r="AD68" s="674">
        <v>65.5</v>
      </c>
      <c r="AE68" s="674"/>
      <c r="AF68" s="730"/>
    </row>
    <row r="69" spans="4:35" ht="15" x14ac:dyDescent="0.2">
      <c r="D69" s="356" t="s">
        <v>339</v>
      </c>
      <c r="E69" s="453">
        <f t="shared" si="0"/>
        <v>4.5499999999999999E-2</v>
      </c>
      <c r="AB69" s="729" t="s">
        <v>626</v>
      </c>
      <c r="AC69" s="674">
        <v>1</v>
      </c>
      <c r="AD69" s="674">
        <v>65.5</v>
      </c>
      <c r="AE69" s="674">
        <v>1</v>
      </c>
      <c r="AF69" s="730"/>
    </row>
    <row r="70" spans="4:35" ht="15" x14ac:dyDescent="0.2">
      <c r="D70" s="356" t="s">
        <v>340</v>
      </c>
      <c r="E70" s="453">
        <f t="shared" si="0"/>
        <v>4.5499999999999999E-2</v>
      </c>
      <c r="AB70" s="729" t="s">
        <v>627</v>
      </c>
      <c r="AC70" s="674">
        <v>1</v>
      </c>
      <c r="AD70" s="674">
        <v>65.5</v>
      </c>
      <c r="AE70" s="674">
        <v>1</v>
      </c>
      <c r="AF70" s="730"/>
    </row>
    <row r="71" spans="4:35" ht="15" x14ac:dyDescent="0.2">
      <c r="D71" s="356" t="s">
        <v>341</v>
      </c>
      <c r="E71" s="453">
        <f t="shared" si="0"/>
        <v>4.5499999999999999E-2</v>
      </c>
      <c r="AB71" s="729" t="s">
        <v>628</v>
      </c>
      <c r="AC71" s="674">
        <v>1</v>
      </c>
      <c r="AD71" s="674">
        <v>65.5</v>
      </c>
      <c r="AE71" s="674"/>
      <c r="AF71" s="730"/>
    </row>
    <row r="72" spans="4:35" ht="15" x14ac:dyDescent="0.2">
      <c r="D72" s="470" t="s">
        <v>528</v>
      </c>
      <c r="E72" s="471">
        <v>0</v>
      </c>
      <c r="AB72" s="729" t="s">
        <v>629</v>
      </c>
      <c r="AC72" s="674">
        <v>1</v>
      </c>
      <c r="AD72" s="674">
        <v>65.5</v>
      </c>
      <c r="AE72" s="674"/>
      <c r="AF72" s="730"/>
    </row>
    <row r="73" spans="4:35" ht="15" x14ac:dyDescent="0.2">
      <c r="D73" s="470" t="s">
        <v>217</v>
      </c>
      <c r="E73" s="471">
        <v>0</v>
      </c>
      <c r="AB73" s="729" t="s">
        <v>630</v>
      </c>
      <c r="AC73" s="674">
        <v>1</v>
      </c>
      <c r="AD73" s="674">
        <v>65.5</v>
      </c>
      <c r="AE73" s="674">
        <v>1</v>
      </c>
      <c r="AF73" s="730"/>
    </row>
    <row r="74" spans="4:35" ht="15" x14ac:dyDescent="0.2">
      <c r="D74" s="470" t="s">
        <v>179</v>
      </c>
      <c r="E74" s="471">
        <v>0</v>
      </c>
      <c r="AB74" s="729" t="s">
        <v>631</v>
      </c>
      <c r="AC74" s="674">
        <v>1</v>
      </c>
      <c r="AD74" s="674">
        <v>65.5</v>
      </c>
      <c r="AE74" s="674"/>
      <c r="AF74" s="730"/>
    </row>
    <row r="75" spans="4:35" ht="15" x14ac:dyDescent="0.2">
      <c r="D75" s="470" t="s">
        <v>180</v>
      </c>
      <c r="E75" s="471">
        <v>0</v>
      </c>
      <c r="AB75" s="729" t="s">
        <v>632</v>
      </c>
      <c r="AC75" s="674">
        <v>1</v>
      </c>
      <c r="AD75" s="674">
        <v>65.5</v>
      </c>
      <c r="AE75" s="674"/>
      <c r="AF75" s="730"/>
    </row>
    <row r="76" spans="4:35" ht="24" x14ac:dyDescent="0.2">
      <c r="D76" s="470" t="s">
        <v>181</v>
      </c>
      <c r="E76" s="471">
        <v>0</v>
      </c>
      <c r="AB76" s="729" t="s">
        <v>633</v>
      </c>
      <c r="AC76" s="674">
        <v>1</v>
      </c>
      <c r="AD76" s="674">
        <v>65.5</v>
      </c>
      <c r="AE76" s="674">
        <v>1</v>
      </c>
      <c r="AF76" s="730"/>
    </row>
    <row r="77" spans="4:35" ht="24" x14ac:dyDescent="0.2">
      <c r="D77" s="470" t="s">
        <v>178</v>
      </c>
      <c r="E77" s="471">
        <v>0</v>
      </c>
      <c r="AB77" s="729" t="s">
        <v>634</v>
      </c>
      <c r="AC77" s="674">
        <v>1</v>
      </c>
      <c r="AD77" s="674">
        <v>65.5</v>
      </c>
      <c r="AE77" s="674">
        <v>1</v>
      </c>
      <c r="AF77" s="730"/>
    </row>
    <row r="78" spans="4:35" ht="24" x14ac:dyDescent="0.2">
      <c r="AB78" s="729" t="s">
        <v>645</v>
      </c>
      <c r="AC78" s="674">
        <v>1</v>
      </c>
      <c r="AD78" s="674">
        <v>65.5</v>
      </c>
      <c r="AE78" s="674"/>
      <c r="AF78" s="730"/>
    </row>
    <row r="79" spans="4:35" ht="15" x14ac:dyDescent="0.2">
      <c r="AB79" s="729" t="s">
        <v>646</v>
      </c>
      <c r="AC79" s="674">
        <v>1</v>
      </c>
      <c r="AD79" s="674">
        <v>65.5</v>
      </c>
      <c r="AE79" s="674"/>
      <c r="AF79" s="730"/>
    </row>
    <row r="80" spans="4:35" ht="15" x14ac:dyDescent="0.2">
      <c r="AB80" s="729" t="s">
        <v>647</v>
      </c>
      <c r="AC80" s="674">
        <v>1</v>
      </c>
      <c r="AD80" s="674">
        <v>65.5</v>
      </c>
      <c r="AE80" s="674"/>
      <c r="AF80" s="730"/>
    </row>
    <row r="81" spans="28:32" ht="15.75" thickBot="1" x14ac:dyDescent="0.25">
      <c r="AB81" s="732" t="s">
        <v>635</v>
      </c>
      <c r="AC81" s="674">
        <v>1</v>
      </c>
      <c r="AD81" s="674">
        <v>65.5</v>
      </c>
      <c r="AE81" s="674">
        <v>1</v>
      </c>
      <c r="AF81" s="331"/>
    </row>
    <row r="82" spans="28:32" x14ac:dyDescent="0.2">
      <c r="AB82" s="7" t="s">
        <v>132</v>
      </c>
      <c r="AC82" s="7">
        <v>1</v>
      </c>
      <c r="AD82" s="270"/>
      <c r="AE82" s="270"/>
    </row>
    <row r="84" spans="28:32" ht="12.75" thickBot="1" x14ac:dyDescent="0.25"/>
    <row r="85" spans="28:32" x14ac:dyDescent="0.2">
      <c r="AB85" s="273" t="s">
        <v>345</v>
      </c>
      <c r="AC85" s="273"/>
      <c r="AD85" s="273"/>
      <c r="AE85" s="273"/>
      <c r="AF85" s="273"/>
    </row>
    <row r="86" spans="28:32" x14ac:dyDescent="0.2">
      <c r="AB86" s="7" t="s">
        <v>346</v>
      </c>
      <c r="AC86" s="7">
        <f>4/5</f>
        <v>0.8</v>
      </c>
      <c r="AD86" s="7"/>
      <c r="AE86" s="7"/>
      <c r="AF86" s="7">
        <v>4</v>
      </c>
    </row>
    <row r="87" spans="28:32" x14ac:dyDescent="0.2">
      <c r="AB87" s="7" t="s">
        <v>425</v>
      </c>
      <c r="AC87" s="7">
        <f>2/3</f>
        <v>0.66666666666666663</v>
      </c>
      <c r="AD87" s="7"/>
      <c r="AE87" s="7"/>
      <c r="AF87" s="7">
        <v>2</v>
      </c>
    </row>
    <row r="88" spans="28:32" x14ac:dyDescent="0.2">
      <c r="AB88" s="7" t="s">
        <v>347</v>
      </c>
      <c r="AC88" s="7">
        <v>0.75</v>
      </c>
      <c r="AD88" s="7"/>
      <c r="AE88" s="7"/>
      <c r="AF88" s="7">
        <v>6</v>
      </c>
    </row>
    <row r="89" spans="28:32" x14ac:dyDescent="0.2">
      <c r="AB89" s="7" t="s">
        <v>348</v>
      </c>
      <c r="AC89" s="7">
        <f>6/7</f>
        <v>0.8571428571428571</v>
      </c>
      <c r="AD89" s="7"/>
      <c r="AE89" s="7"/>
      <c r="AF89" s="7">
        <v>6</v>
      </c>
    </row>
    <row r="90" spans="28:32" x14ac:dyDescent="0.2">
      <c r="AB90" s="7" t="s">
        <v>349</v>
      </c>
      <c r="AC90" s="7">
        <f>8/11</f>
        <v>0.72727272727272729</v>
      </c>
      <c r="AD90" s="7"/>
      <c r="AE90" s="7"/>
      <c r="AF90" s="7">
        <v>8</v>
      </c>
    </row>
    <row r="91" spans="28:32" x14ac:dyDescent="0.2">
      <c r="AB91" s="7" t="s">
        <v>350</v>
      </c>
      <c r="AC91" s="7">
        <f>8/9</f>
        <v>0.88888888888888884</v>
      </c>
      <c r="AD91" s="7"/>
      <c r="AE91" s="7"/>
      <c r="AF91" s="7">
        <v>8</v>
      </c>
    </row>
  </sheetData>
  <customSheetViews>
    <customSheetView guid="{554C7132-FEB4-4016-AC1F-AA27B41C0DFC}" scale="75" topLeftCell="O1">
      <selection activeCell="AD4" sqref="AD4"/>
      <pageMargins left="0.75" right="0.75" top="1" bottom="1" header="0.5" footer="0.5"/>
      <pageSetup paperSize="9" orientation="portrait" r:id="rId1"/>
      <headerFooter alignWithMargins="0"/>
    </customSheetView>
  </customSheetViews>
  <phoneticPr fontId="13" type="noConversion"/>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AI3 AF58" xr:uid="{00000000-0002-0000-0500-000000000000}">
      <formula1>0</formula1>
    </dataValidation>
  </dataValidations>
  <pageMargins left="0.75" right="0.75" top="1" bottom="1" header="0.5" footer="0.5"/>
  <pageSetup paperSize="9" orientation="portrait" r:id="rId2"/>
  <headerFooter alignWithMargins="0"/>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Z90"/>
  <sheetViews>
    <sheetView showGridLines="0" topLeftCell="CA1" zoomScale="75" zoomScaleNormal="25" workbookViewId="0">
      <selection sqref="A1:BZ1048576"/>
    </sheetView>
  </sheetViews>
  <sheetFormatPr defaultRowHeight="12" x14ac:dyDescent="0.2"/>
  <cols>
    <col min="1" max="1" width="8.88671875" style="539" hidden="1" customWidth="1"/>
    <col min="2" max="2" width="2.88671875" style="539" hidden="1" customWidth="1"/>
    <col min="3" max="3" width="5.21875" style="537" hidden="1" customWidth="1"/>
    <col min="4" max="4" width="26.88671875" style="539" hidden="1" customWidth="1"/>
    <col min="5" max="5" width="10.6640625" style="539" hidden="1" customWidth="1"/>
    <col min="6" max="6" width="11.5546875" style="539" hidden="1" customWidth="1"/>
    <col min="7" max="7" width="4.33203125" style="537" hidden="1" customWidth="1"/>
    <col min="8" max="8" width="20.77734375" style="554" hidden="1" customWidth="1"/>
    <col min="9" max="9" width="8.109375" style="539" hidden="1" customWidth="1"/>
    <col min="10" max="10" width="4.77734375" style="537" hidden="1" customWidth="1"/>
    <col min="11" max="11" width="6.21875" style="539" hidden="1" customWidth="1"/>
    <col min="12" max="12" width="7.109375" style="539" hidden="1" customWidth="1"/>
    <col min="13" max="13" width="4.77734375" style="537" hidden="1" customWidth="1"/>
    <col min="14" max="14" width="22.77734375" style="539" hidden="1" customWidth="1"/>
    <col min="15" max="15" width="11.21875" style="539" hidden="1" customWidth="1"/>
    <col min="16" max="20" width="12" style="539" hidden="1" customWidth="1"/>
    <col min="21" max="21" width="4.44140625" style="537" hidden="1" customWidth="1"/>
    <col min="22" max="22" width="10.109375" style="539" hidden="1" customWidth="1"/>
    <col min="23" max="23" width="7.21875" style="539" hidden="1" customWidth="1"/>
    <col min="24" max="24" width="13" style="539" hidden="1" customWidth="1"/>
    <col min="25" max="25" width="4" style="537" hidden="1" customWidth="1"/>
    <col min="26" max="26" width="28.109375" style="554" hidden="1" customWidth="1"/>
    <col min="27" max="27" width="10.33203125" style="539" hidden="1" customWidth="1"/>
    <col min="28" max="28" width="4.33203125" style="537" hidden="1" customWidth="1"/>
    <col min="29" max="29" width="25.77734375" style="539" hidden="1" customWidth="1"/>
    <col min="30" max="31" width="10.88671875" style="539" hidden="1" customWidth="1"/>
    <col min="32" max="33" width="17.6640625" style="539" hidden="1" customWidth="1"/>
    <col min="34" max="35" width="15.109375" style="539" hidden="1" customWidth="1"/>
    <col min="36" max="78" width="8.88671875" style="539" hidden="1" customWidth="1"/>
    <col min="79" max="82" width="8.88671875" style="539" customWidth="1"/>
    <col min="83" max="16384" width="8.88671875" style="539"/>
  </cols>
  <sheetData>
    <row r="1" spans="2:38" ht="12.75" thickBot="1" x14ac:dyDescent="0.25">
      <c r="B1" s="536" t="s">
        <v>69</v>
      </c>
      <c r="D1" s="1536" t="s">
        <v>72</v>
      </c>
      <c r="E1" s="1536"/>
      <c r="F1" s="538"/>
      <c r="K1" s="1536" t="s">
        <v>70</v>
      </c>
      <c r="L1" s="1536"/>
      <c r="N1" s="1536" t="s">
        <v>71</v>
      </c>
      <c r="O1" s="1536"/>
      <c r="AC1" s="540" t="s">
        <v>76</v>
      </c>
      <c r="AD1" s="540"/>
      <c r="AE1" s="540"/>
      <c r="AF1" s="555"/>
      <c r="AG1" s="540" t="s">
        <v>77</v>
      </c>
      <c r="AH1" s="540"/>
    </row>
    <row r="2" spans="2:38" ht="36" x14ac:dyDescent="0.2">
      <c r="C2" s="541"/>
      <c r="D2" s="542" t="s">
        <v>1</v>
      </c>
      <c r="E2" s="542" t="s">
        <v>67</v>
      </c>
      <c r="F2" s="543" t="s">
        <v>168</v>
      </c>
      <c r="G2" s="541"/>
      <c r="H2" s="614" t="s">
        <v>2</v>
      </c>
      <c r="I2" s="542" t="s">
        <v>73</v>
      </c>
      <c r="J2" s="541"/>
      <c r="K2" s="542" t="s">
        <v>40</v>
      </c>
      <c r="L2" s="542" t="s">
        <v>66</v>
      </c>
      <c r="M2" s="541"/>
      <c r="N2" s="542" t="s">
        <v>3</v>
      </c>
      <c r="O2" s="542" t="s">
        <v>73</v>
      </c>
      <c r="P2" s="542" t="s">
        <v>55</v>
      </c>
      <c r="Q2" s="543" t="s">
        <v>29</v>
      </c>
      <c r="R2" s="543" t="s">
        <v>30</v>
      </c>
      <c r="S2" s="543" t="s">
        <v>602</v>
      </c>
      <c r="T2" s="543"/>
      <c r="U2" s="541"/>
      <c r="V2" s="542" t="s">
        <v>603</v>
      </c>
      <c r="W2" s="542" t="s">
        <v>25</v>
      </c>
      <c r="X2" s="542" t="s">
        <v>15</v>
      </c>
      <c r="Y2" s="541"/>
      <c r="Z2" s="614" t="s">
        <v>16</v>
      </c>
      <c r="AA2" s="542" t="s">
        <v>68</v>
      </c>
      <c r="AB2" s="541"/>
      <c r="AC2" s="542" t="s">
        <v>26</v>
      </c>
      <c r="AD2" s="542" t="s">
        <v>352</v>
      </c>
      <c r="AE2" s="542" t="s">
        <v>142</v>
      </c>
      <c r="AF2" s="555"/>
      <c r="AG2" s="542" t="s">
        <v>39</v>
      </c>
      <c r="AH2" s="542" t="s">
        <v>272</v>
      </c>
      <c r="AI2" s="544" t="s">
        <v>83</v>
      </c>
      <c r="AJ2" s="613" t="s">
        <v>73</v>
      </c>
      <c r="AK2" s="545" t="s">
        <v>237</v>
      </c>
      <c r="AL2" s="545" t="s">
        <v>435</v>
      </c>
    </row>
    <row r="3" spans="2:38" x14ac:dyDescent="0.2">
      <c r="C3" s="541"/>
      <c r="D3" s="543"/>
      <c r="E3" s="543"/>
      <c r="F3" s="543"/>
      <c r="G3" s="541"/>
      <c r="H3" s="612" t="s">
        <v>74</v>
      </c>
      <c r="I3" s="546">
        <v>0</v>
      </c>
      <c r="J3" s="541"/>
      <c r="K3" s="543"/>
      <c r="L3" s="543"/>
      <c r="M3" s="541"/>
      <c r="N3" s="543"/>
      <c r="O3" s="543"/>
      <c r="P3" s="543"/>
      <c r="Q3" s="543"/>
      <c r="R3" s="543"/>
      <c r="S3" s="543"/>
      <c r="T3" s="543"/>
      <c r="U3" s="541"/>
      <c r="V3" s="543"/>
      <c r="W3" s="543"/>
      <c r="X3" s="543"/>
      <c r="Y3" s="541"/>
      <c r="Z3" s="618"/>
      <c r="AA3" s="543"/>
      <c r="AB3" s="541"/>
      <c r="AC3" s="543"/>
      <c r="AD3" s="543"/>
      <c r="AE3" s="543"/>
      <c r="AF3" s="555"/>
      <c r="AG3" s="543"/>
      <c r="AH3" s="548"/>
      <c r="AI3" s="549"/>
      <c r="AJ3" s="545"/>
      <c r="AK3" s="545"/>
      <c r="AL3" s="545"/>
    </row>
    <row r="4" spans="2:38" ht="15" customHeight="1" x14ac:dyDescent="0.2">
      <c r="B4" s="610">
        <v>1</v>
      </c>
      <c r="C4" s="573"/>
      <c r="D4" s="550" t="s">
        <v>50</v>
      </c>
      <c r="E4" s="550">
        <v>0</v>
      </c>
      <c r="F4" s="599" t="s">
        <v>64</v>
      </c>
      <c r="G4" s="574"/>
      <c r="H4" s="552" t="s">
        <v>87</v>
      </c>
      <c r="I4" s="553">
        <v>0</v>
      </c>
      <c r="J4" s="575"/>
      <c r="K4" s="564" t="s">
        <v>64</v>
      </c>
      <c r="L4" s="611"/>
      <c r="M4" s="956"/>
      <c r="N4" s="550" t="s">
        <v>552</v>
      </c>
      <c r="O4" s="553">
        <v>35</v>
      </c>
      <c r="P4" s="550">
        <v>1</v>
      </c>
      <c r="Q4" s="574">
        <v>408</v>
      </c>
      <c r="R4" s="574">
        <v>564</v>
      </c>
      <c r="S4" s="574" t="s">
        <v>596</v>
      </c>
      <c r="T4" s="574"/>
      <c r="U4" s="574" t="s">
        <v>596</v>
      </c>
      <c r="V4" s="550" t="s">
        <v>590</v>
      </c>
      <c r="W4" s="550">
        <v>1</v>
      </c>
      <c r="X4" s="550" t="s">
        <v>195</v>
      </c>
      <c r="Y4" s="574"/>
      <c r="Z4" s="551"/>
      <c r="AA4" s="553"/>
      <c r="AB4" s="574"/>
      <c r="AC4" s="560"/>
      <c r="AE4" s="553"/>
      <c r="AF4" s="555"/>
      <c r="AG4" s="609"/>
      <c r="AH4" s="608"/>
      <c r="AI4" s="556" t="s">
        <v>131</v>
      </c>
      <c r="AJ4" s="557">
        <v>0</v>
      </c>
      <c r="AK4" s="607" t="s">
        <v>457</v>
      </c>
      <c r="AL4" s="606">
        <v>3.75</v>
      </c>
    </row>
    <row r="5" spans="2:38" ht="15" customHeight="1" x14ac:dyDescent="0.2">
      <c r="B5" s="610">
        <f t="shared" ref="B5:B15" si="0">SUM(B4+1)</f>
        <v>2</v>
      </c>
      <c r="C5" s="573"/>
      <c r="D5" s="550" t="s">
        <v>300</v>
      </c>
      <c r="E5" s="550">
        <v>0</v>
      </c>
      <c r="F5" s="550" t="s">
        <v>64</v>
      </c>
      <c r="G5" s="574"/>
      <c r="H5" s="554" t="s">
        <v>550</v>
      </c>
      <c r="I5" s="553">
        <v>0</v>
      </c>
      <c r="J5" s="575"/>
      <c r="K5" s="564" t="s">
        <v>65</v>
      </c>
      <c r="L5" s="553" t="s">
        <v>115</v>
      </c>
      <c r="M5" s="956"/>
      <c r="N5" s="550" t="s">
        <v>566</v>
      </c>
      <c r="O5" s="553">
        <v>35</v>
      </c>
      <c r="P5" s="550">
        <v>1</v>
      </c>
      <c r="Q5" s="574">
        <v>408</v>
      </c>
      <c r="R5" s="574">
        <v>564</v>
      </c>
      <c r="S5" s="574" t="s">
        <v>596</v>
      </c>
      <c r="T5" s="574"/>
      <c r="U5" s="574"/>
      <c r="V5" s="550" t="s">
        <v>591</v>
      </c>
      <c r="W5" s="550">
        <v>1</v>
      </c>
      <c r="X5" s="550" t="s">
        <v>196</v>
      </c>
      <c r="Y5" s="574"/>
      <c r="Z5" s="551"/>
      <c r="AA5" s="553"/>
      <c r="AB5" s="574"/>
      <c r="AC5" s="551"/>
      <c r="AE5" s="553"/>
      <c r="AF5" s="555"/>
      <c r="AG5" s="609"/>
      <c r="AH5" s="608"/>
      <c r="AI5" s="556"/>
      <c r="AJ5" s="558">
        <v>0</v>
      </c>
      <c r="AK5" s="607" t="s">
        <v>458</v>
      </c>
      <c r="AL5" s="606">
        <v>3.75</v>
      </c>
    </row>
    <row r="6" spans="2:38" ht="15" customHeight="1" thickBot="1" x14ac:dyDescent="0.25">
      <c r="B6" s="610">
        <f t="shared" si="0"/>
        <v>3</v>
      </c>
      <c r="C6" s="573"/>
      <c r="D6" s="550"/>
      <c r="E6" s="550"/>
      <c r="F6" s="574"/>
      <c r="G6" s="574"/>
      <c r="H6" s="551" t="s">
        <v>488</v>
      </c>
      <c r="I6" s="550">
        <v>100</v>
      </c>
      <c r="J6" s="575"/>
      <c r="K6" s="564"/>
      <c r="L6" s="611"/>
      <c r="M6" s="956"/>
      <c r="N6" s="550" t="s">
        <v>554</v>
      </c>
      <c r="O6" s="553">
        <v>47.5</v>
      </c>
      <c r="P6" s="550">
        <v>1</v>
      </c>
      <c r="Q6" s="574">
        <v>408</v>
      </c>
      <c r="R6" s="574">
        <v>762.5</v>
      </c>
      <c r="S6" s="574" t="s">
        <v>597</v>
      </c>
      <c r="T6" s="574"/>
      <c r="U6" s="574"/>
      <c r="V6" s="550"/>
      <c r="W6" s="550"/>
      <c r="X6" s="550" t="s">
        <v>199</v>
      </c>
      <c r="Y6" s="574"/>
      <c r="Z6" s="559"/>
      <c r="AA6" s="553"/>
      <c r="AB6" s="574"/>
      <c r="AC6" s="551"/>
      <c r="AE6" s="553"/>
      <c r="AF6" s="555"/>
      <c r="AG6" s="609"/>
      <c r="AH6" s="608"/>
      <c r="AI6" s="556" t="s">
        <v>112</v>
      </c>
      <c r="AJ6" s="558">
        <v>0</v>
      </c>
      <c r="AK6" s="607" t="s">
        <v>459</v>
      </c>
      <c r="AL6" s="606">
        <v>3.75</v>
      </c>
    </row>
    <row r="7" spans="2:38" ht="15" customHeight="1" x14ac:dyDescent="0.2">
      <c r="B7" s="610">
        <f t="shared" si="0"/>
        <v>4</v>
      </c>
      <c r="C7" s="573"/>
      <c r="D7" s="542" t="s">
        <v>266</v>
      </c>
      <c r="E7" s="550"/>
      <c r="F7" s="574"/>
      <c r="G7" s="574"/>
      <c r="H7" s="551" t="s">
        <v>489</v>
      </c>
      <c r="I7" s="550">
        <v>100</v>
      </c>
      <c r="J7" s="575"/>
      <c r="K7" s="564"/>
      <c r="L7" s="564"/>
      <c r="M7" s="956"/>
      <c r="N7" s="550" t="s">
        <v>567</v>
      </c>
      <c r="O7" s="553">
        <v>47.5</v>
      </c>
      <c r="P7" s="550">
        <v>1</v>
      </c>
      <c r="Q7" s="574">
        <v>408</v>
      </c>
      <c r="R7" s="574">
        <v>762.5</v>
      </c>
      <c r="S7" s="574" t="s">
        <v>597</v>
      </c>
      <c r="T7" s="574"/>
      <c r="U7" s="574" t="s">
        <v>597</v>
      </c>
      <c r="V7" s="550" t="s">
        <v>590</v>
      </c>
      <c r="W7" s="550">
        <v>1</v>
      </c>
      <c r="X7" s="550" t="s">
        <v>197</v>
      </c>
      <c r="Y7" s="574"/>
      <c r="Z7" s="551"/>
      <c r="AA7" s="553"/>
      <c r="AB7" s="574"/>
      <c r="AC7" s="551"/>
      <c r="AE7" s="553"/>
      <c r="AF7" s="555"/>
      <c r="AG7" s="609"/>
      <c r="AH7" s="608"/>
      <c r="AK7" s="607" t="s">
        <v>460</v>
      </c>
      <c r="AL7" s="606">
        <v>3.75</v>
      </c>
    </row>
    <row r="8" spans="2:38" ht="15" customHeight="1" x14ac:dyDescent="0.2">
      <c r="B8" s="610">
        <f t="shared" si="0"/>
        <v>5</v>
      </c>
      <c r="C8" s="573"/>
      <c r="D8" s="550"/>
      <c r="E8" s="550"/>
      <c r="F8" s="574"/>
      <c r="G8" s="574"/>
      <c r="H8" s="551" t="s">
        <v>490</v>
      </c>
      <c r="I8" s="550">
        <v>168</v>
      </c>
      <c r="J8" s="575"/>
      <c r="K8" s="564"/>
      <c r="L8" s="564"/>
      <c r="M8" s="956"/>
      <c r="N8" s="550" t="s">
        <v>553</v>
      </c>
      <c r="O8" s="553">
        <v>60</v>
      </c>
      <c r="P8" s="550">
        <v>1</v>
      </c>
      <c r="Q8" s="574">
        <v>518</v>
      </c>
      <c r="R8" s="574">
        <v>762.5</v>
      </c>
      <c r="S8" s="574" t="s">
        <v>596</v>
      </c>
      <c r="T8" s="574"/>
      <c r="U8" s="574"/>
      <c r="V8" s="550" t="s">
        <v>591</v>
      </c>
      <c r="W8" s="550">
        <v>1</v>
      </c>
      <c r="X8" s="550" t="s">
        <v>198</v>
      </c>
      <c r="Y8" s="574"/>
      <c r="Z8" s="551"/>
      <c r="AA8" s="553"/>
      <c r="AB8" s="574"/>
      <c r="AC8" s="551"/>
      <c r="AE8" s="553"/>
      <c r="AF8" s="555"/>
      <c r="AG8" s="609"/>
      <c r="AH8" s="608"/>
      <c r="AK8" s="607" t="s">
        <v>461</v>
      </c>
      <c r="AL8" s="606">
        <v>3.75</v>
      </c>
    </row>
    <row r="9" spans="2:38" ht="15" customHeight="1" x14ac:dyDescent="0.2">
      <c r="B9" s="610">
        <f t="shared" si="0"/>
        <v>6</v>
      </c>
      <c r="C9" s="573"/>
      <c r="D9" s="550"/>
      <c r="E9" s="550"/>
      <c r="F9" s="574"/>
      <c r="G9" s="574"/>
      <c r="H9" s="551" t="s">
        <v>491</v>
      </c>
      <c r="I9" s="550">
        <v>168</v>
      </c>
      <c r="J9" s="575"/>
      <c r="K9" s="564"/>
      <c r="L9" s="564"/>
      <c r="M9" s="956"/>
      <c r="N9" s="550" t="s">
        <v>555</v>
      </c>
      <c r="O9" s="550">
        <v>76</v>
      </c>
      <c r="P9" s="550">
        <v>1</v>
      </c>
      <c r="Q9" s="574">
        <v>518</v>
      </c>
      <c r="R9" s="574">
        <v>962.5</v>
      </c>
      <c r="S9" s="574" t="s">
        <v>597</v>
      </c>
      <c r="T9" s="574"/>
      <c r="U9" s="574"/>
      <c r="V9" s="550" t="s">
        <v>593</v>
      </c>
      <c r="W9" s="550">
        <v>1</v>
      </c>
      <c r="X9" s="550" t="s">
        <v>200</v>
      </c>
      <c r="Y9" s="574"/>
      <c r="Z9" s="551"/>
      <c r="AA9" s="553"/>
      <c r="AB9" s="574"/>
      <c r="AC9" s="551"/>
      <c r="AE9" s="553"/>
      <c r="AF9" s="555"/>
      <c r="AG9" s="609"/>
      <c r="AH9" s="608"/>
      <c r="AK9" s="554" t="s">
        <v>469</v>
      </c>
      <c r="AL9" s="606">
        <v>3.75</v>
      </c>
    </row>
    <row r="10" spans="2:38" ht="15" customHeight="1" x14ac:dyDescent="0.2">
      <c r="B10" s="610">
        <f t="shared" si="0"/>
        <v>7</v>
      </c>
      <c r="C10" s="573"/>
      <c r="D10" s="550"/>
      <c r="E10" s="550"/>
      <c r="F10" s="574"/>
      <c r="G10" s="574"/>
      <c r="H10" s="551"/>
      <c r="I10" s="550"/>
      <c r="J10" s="575"/>
      <c r="K10" s="564"/>
      <c r="L10" s="564"/>
      <c r="M10" s="956"/>
      <c r="N10" s="550" t="s">
        <v>568</v>
      </c>
      <c r="O10" s="550">
        <v>76</v>
      </c>
      <c r="P10" s="550">
        <v>1</v>
      </c>
      <c r="Q10" s="574">
        <v>518</v>
      </c>
      <c r="R10" s="574">
        <v>962.5</v>
      </c>
      <c r="S10" s="574" t="s">
        <v>597</v>
      </c>
      <c r="T10" s="574"/>
      <c r="U10" s="574"/>
      <c r="V10" s="550" t="s">
        <v>594</v>
      </c>
      <c r="W10" s="550">
        <v>1</v>
      </c>
      <c r="X10" s="638" t="s">
        <v>492</v>
      </c>
      <c r="Y10" s="574"/>
      <c r="Z10" s="551"/>
      <c r="AA10" s="553"/>
      <c r="AB10" s="574"/>
      <c r="AC10" s="551"/>
      <c r="AE10" s="553"/>
      <c r="AF10" s="555"/>
      <c r="AG10" s="609"/>
      <c r="AH10" s="608"/>
      <c r="AK10" s="554" t="s">
        <v>470</v>
      </c>
      <c r="AL10" s="606">
        <v>3.75</v>
      </c>
    </row>
    <row r="11" spans="2:38" ht="15" customHeight="1" x14ac:dyDescent="0.2">
      <c r="B11" s="610">
        <f t="shared" si="0"/>
        <v>8</v>
      </c>
      <c r="C11" s="573"/>
      <c r="D11" s="550"/>
      <c r="E11" s="550"/>
      <c r="F11" s="574"/>
      <c r="G11" s="574"/>
      <c r="H11" s="551"/>
      <c r="I11" s="550"/>
      <c r="J11" s="575"/>
      <c r="K11" s="564"/>
      <c r="L11" s="564"/>
      <c r="M11" s="956"/>
      <c r="N11" s="550" t="s">
        <v>605</v>
      </c>
      <c r="O11" s="550">
        <v>112.5</v>
      </c>
      <c r="P11" s="550">
        <v>1</v>
      </c>
      <c r="Q11" s="574">
        <v>518</v>
      </c>
      <c r="R11" s="574">
        <v>1182.5</v>
      </c>
      <c r="S11" s="574" t="s">
        <v>606</v>
      </c>
      <c r="T11" s="574"/>
      <c r="U11" s="574"/>
      <c r="V11" s="550" t="s">
        <v>592</v>
      </c>
      <c r="W11" s="550">
        <v>1</v>
      </c>
      <c r="X11" s="638" t="s">
        <v>493</v>
      </c>
      <c r="Y11" s="574"/>
      <c r="Z11" s="551"/>
      <c r="AA11" s="553"/>
      <c r="AB11" s="574"/>
      <c r="AC11" s="551"/>
      <c r="AE11" s="553"/>
      <c r="AF11" s="555"/>
      <c r="AG11" s="609"/>
      <c r="AH11" s="608"/>
      <c r="AK11" s="607" t="s">
        <v>462</v>
      </c>
      <c r="AL11" s="606">
        <v>3.75</v>
      </c>
    </row>
    <row r="12" spans="2:38" ht="15" customHeight="1" x14ac:dyDescent="0.2">
      <c r="B12" s="610">
        <f t="shared" si="0"/>
        <v>9</v>
      </c>
      <c r="C12" s="573"/>
      <c r="D12" s="550"/>
      <c r="E12" s="550"/>
      <c r="F12" s="574"/>
      <c r="G12" s="574"/>
      <c r="H12" s="594"/>
      <c r="J12" s="575"/>
      <c r="K12" s="564"/>
      <c r="L12" s="564"/>
      <c r="M12" s="956"/>
      <c r="N12" s="550" t="s">
        <v>556</v>
      </c>
      <c r="O12" s="550">
        <v>74</v>
      </c>
      <c r="P12" s="550">
        <v>1</v>
      </c>
      <c r="Q12" s="574">
        <v>638</v>
      </c>
      <c r="R12" s="574">
        <v>762.5</v>
      </c>
      <c r="S12" s="574" t="s">
        <v>597</v>
      </c>
      <c r="T12" s="574"/>
      <c r="U12" s="574"/>
      <c r="V12" s="550"/>
      <c r="W12" s="550"/>
      <c r="X12" s="654" t="s">
        <v>494</v>
      </c>
      <c r="Y12" s="574"/>
      <c r="Z12" s="551"/>
      <c r="AA12" s="553"/>
      <c r="AB12" s="574"/>
      <c r="AC12" s="551"/>
      <c r="AE12" s="553"/>
      <c r="AF12" s="555"/>
      <c r="AG12" s="609"/>
      <c r="AH12" s="608"/>
      <c r="AK12" s="607" t="s">
        <v>463</v>
      </c>
      <c r="AL12" s="606">
        <v>3.75</v>
      </c>
    </row>
    <row r="13" spans="2:38" ht="15" customHeight="1" x14ac:dyDescent="0.2">
      <c r="B13" s="610">
        <f t="shared" si="0"/>
        <v>10</v>
      </c>
      <c r="C13" s="573"/>
      <c r="D13" s="550"/>
      <c r="E13" s="550"/>
      <c r="F13" s="574"/>
      <c r="G13" s="574"/>
      <c r="J13" s="575"/>
      <c r="K13" s="564"/>
      <c r="L13" s="564"/>
      <c r="M13" s="956"/>
      <c r="N13" s="550" t="s">
        <v>569</v>
      </c>
      <c r="O13" s="550">
        <v>74</v>
      </c>
      <c r="P13" s="550">
        <v>1</v>
      </c>
      <c r="Q13" s="574">
        <v>638</v>
      </c>
      <c r="R13" s="574">
        <v>762.5</v>
      </c>
      <c r="S13" s="574" t="s">
        <v>597</v>
      </c>
      <c r="T13" s="574"/>
      <c r="U13" s="574" t="s">
        <v>598</v>
      </c>
      <c r="V13" s="550" t="s">
        <v>590</v>
      </c>
      <c r="W13" s="550">
        <v>1</v>
      </c>
      <c r="X13" s="550"/>
      <c r="Y13" s="574"/>
      <c r="Z13" s="551"/>
      <c r="AA13" s="553"/>
      <c r="AB13" s="574"/>
      <c r="AC13" s="551"/>
      <c r="AE13" s="553"/>
      <c r="AF13" s="555"/>
      <c r="AG13" s="609"/>
      <c r="AH13" s="608"/>
      <c r="AK13" s="607" t="s">
        <v>241</v>
      </c>
      <c r="AL13" s="606">
        <v>3.75</v>
      </c>
    </row>
    <row r="14" spans="2:38" ht="15" customHeight="1" thickBot="1" x14ac:dyDescent="0.25">
      <c r="B14" s="610">
        <f t="shared" si="0"/>
        <v>11</v>
      </c>
      <c r="C14" s="573"/>
      <c r="D14" s="550"/>
      <c r="E14" s="550"/>
      <c r="F14" s="574"/>
      <c r="G14" s="574"/>
      <c r="J14" s="575"/>
      <c r="K14" s="564"/>
      <c r="L14" s="564"/>
      <c r="M14" s="956"/>
      <c r="N14" s="550" t="s">
        <v>557</v>
      </c>
      <c r="O14" s="550">
        <v>93.3</v>
      </c>
      <c r="P14" s="550">
        <v>1</v>
      </c>
      <c r="Q14" s="574">
        <v>638</v>
      </c>
      <c r="R14" s="574">
        <v>962.5</v>
      </c>
      <c r="S14" s="574" t="s">
        <v>598</v>
      </c>
      <c r="T14" s="574"/>
      <c r="U14" s="574"/>
      <c r="V14" s="550" t="s">
        <v>591</v>
      </c>
      <c r="W14" s="550">
        <v>1</v>
      </c>
      <c r="X14" s="550"/>
      <c r="Y14" s="574"/>
      <c r="Z14" s="551"/>
      <c r="AA14" s="553"/>
      <c r="AB14" s="574"/>
      <c r="AC14" s="551"/>
      <c r="AE14" s="553"/>
      <c r="AF14" s="550"/>
      <c r="AG14" s="609"/>
      <c r="AH14" s="608"/>
      <c r="AK14" s="607" t="s">
        <v>240</v>
      </c>
      <c r="AL14" s="606">
        <v>7</v>
      </c>
    </row>
    <row r="15" spans="2:38" ht="15" customHeight="1" x14ac:dyDescent="0.2">
      <c r="B15" s="610">
        <f t="shared" si="0"/>
        <v>12</v>
      </c>
      <c r="C15" s="573"/>
      <c r="D15" s="550"/>
      <c r="E15" s="550"/>
      <c r="F15" s="574"/>
      <c r="G15" s="574"/>
      <c r="J15" s="575"/>
      <c r="K15" s="564"/>
      <c r="L15" s="564"/>
      <c r="M15" s="956"/>
      <c r="N15" s="550" t="s">
        <v>570</v>
      </c>
      <c r="O15" s="550">
        <v>93.3</v>
      </c>
      <c r="P15" s="550">
        <v>1</v>
      </c>
      <c r="Q15" s="574">
        <v>638</v>
      </c>
      <c r="R15" s="574">
        <v>962.5</v>
      </c>
      <c r="S15" s="574" t="s">
        <v>598</v>
      </c>
      <c r="T15" s="574"/>
      <c r="U15" s="574"/>
      <c r="V15" s="550" t="s">
        <v>593</v>
      </c>
      <c r="W15" s="550">
        <v>1</v>
      </c>
      <c r="X15" s="542" t="s">
        <v>307</v>
      </c>
      <c r="Y15" s="574"/>
      <c r="Z15" s="559"/>
      <c r="AA15" s="553"/>
      <c r="AB15" s="574"/>
      <c r="AC15" s="551"/>
      <c r="AE15" s="553"/>
      <c r="AF15" s="550"/>
      <c r="AG15" s="609"/>
      <c r="AH15" s="608"/>
      <c r="AK15" s="607" t="s">
        <v>464</v>
      </c>
      <c r="AL15" s="606">
        <v>7</v>
      </c>
    </row>
    <row r="16" spans="2:38" ht="15" customHeight="1" x14ac:dyDescent="0.2">
      <c r="C16" s="573"/>
      <c r="D16" s="550"/>
      <c r="E16" s="550"/>
      <c r="F16" s="574"/>
      <c r="G16" s="574"/>
      <c r="J16" s="575"/>
      <c r="K16" s="564"/>
      <c r="L16" s="564"/>
      <c r="M16" s="956"/>
      <c r="N16" s="550" t="s">
        <v>558</v>
      </c>
      <c r="O16" s="550">
        <v>115</v>
      </c>
      <c r="P16" s="550">
        <v>1</v>
      </c>
      <c r="Q16" s="574">
        <v>638</v>
      </c>
      <c r="R16" s="574">
        <v>1182.5</v>
      </c>
      <c r="S16" s="574" t="s">
        <v>598</v>
      </c>
      <c r="T16" s="574"/>
      <c r="U16" s="574"/>
      <c r="V16" s="550" t="s">
        <v>594</v>
      </c>
      <c r="W16" s="550">
        <v>1</v>
      </c>
      <c r="X16" s="550"/>
      <c r="Y16" s="574"/>
      <c r="Z16" s="551"/>
      <c r="AA16" s="553"/>
      <c r="AB16" s="574"/>
      <c r="AC16" s="551"/>
      <c r="AE16" s="553"/>
      <c r="AF16" s="550"/>
      <c r="AG16" s="609"/>
      <c r="AH16" s="608"/>
      <c r="AK16" s="607" t="s">
        <v>465</v>
      </c>
      <c r="AL16" s="606">
        <v>7</v>
      </c>
    </row>
    <row r="17" spans="3:38" ht="15" customHeight="1" x14ac:dyDescent="0.2">
      <c r="C17" s="573"/>
      <c r="D17" s="550"/>
      <c r="E17" s="550"/>
      <c r="F17" s="574"/>
      <c r="G17" s="574"/>
      <c r="J17" s="575"/>
      <c r="K17" s="564"/>
      <c r="L17" s="564"/>
      <c r="M17" s="956"/>
      <c r="N17" s="550" t="s">
        <v>571</v>
      </c>
      <c r="O17" s="550">
        <v>115</v>
      </c>
      <c r="P17" s="550">
        <v>1</v>
      </c>
      <c r="Q17" s="574">
        <v>638</v>
      </c>
      <c r="R17" s="574">
        <v>1182.5</v>
      </c>
      <c r="S17" s="574" t="s">
        <v>598</v>
      </c>
      <c r="T17" s="574"/>
      <c r="U17" s="574"/>
      <c r="V17" s="550" t="s">
        <v>592</v>
      </c>
      <c r="W17" s="550">
        <v>1</v>
      </c>
      <c r="X17" s="550"/>
      <c r="Y17" s="574"/>
      <c r="Z17" s="551"/>
      <c r="AA17" s="553"/>
      <c r="AB17" s="574"/>
      <c r="AC17" s="551"/>
      <c r="AE17" s="553"/>
      <c r="AF17" s="550"/>
      <c r="AG17" s="609"/>
      <c r="AH17" s="608"/>
      <c r="AK17" s="606" t="s">
        <v>239</v>
      </c>
      <c r="AL17" s="606">
        <v>7475</v>
      </c>
    </row>
    <row r="18" spans="3:38" ht="15" customHeight="1" x14ac:dyDescent="0.2">
      <c r="C18" s="573"/>
      <c r="D18" s="550"/>
      <c r="E18" s="550"/>
      <c r="F18" s="574"/>
      <c r="G18" s="574"/>
      <c r="J18" s="575"/>
      <c r="K18" s="564"/>
      <c r="L18" s="564"/>
      <c r="M18" s="956"/>
      <c r="N18" s="550" t="s">
        <v>559</v>
      </c>
      <c r="O18" s="550">
        <v>117.5</v>
      </c>
      <c r="P18" s="550">
        <v>1</v>
      </c>
      <c r="Q18" s="574">
        <v>800</v>
      </c>
      <c r="R18" s="574">
        <v>962.5</v>
      </c>
      <c r="S18" s="574" t="s">
        <v>599</v>
      </c>
      <c r="T18" s="574"/>
      <c r="U18" s="574"/>
      <c r="V18" s="550" t="s">
        <v>595</v>
      </c>
      <c r="W18" s="550">
        <v>1</v>
      </c>
      <c r="X18" s="550"/>
      <c r="Y18" s="574"/>
      <c r="Z18" s="551"/>
      <c r="AA18" s="553"/>
      <c r="AB18" s="574"/>
      <c r="AC18" s="551"/>
      <c r="AE18" s="553"/>
      <c r="AF18" s="550"/>
      <c r="AG18" s="572"/>
      <c r="AK18" s="606" t="s">
        <v>467</v>
      </c>
      <c r="AL18" s="606">
        <v>4</v>
      </c>
    </row>
    <row r="19" spans="3:38" ht="15" customHeight="1" x14ac:dyDescent="0.2">
      <c r="C19" s="573"/>
      <c r="D19" s="550"/>
      <c r="E19" s="550"/>
      <c r="F19" s="574"/>
      <c r="G19" s="574"/>
      <c r="J19" s="575"/>
      <c r="K19" s="564"/>
      <c r="L19" s="564"/>
      <c r="M19" s="956"/>
      <c r="N19" s="550" t="s">
        <v>560</v>
      </c>
      <c r="O19" s="550">
        <v>144</v>
      </c>
      <c r="P19" s="550">
        <v>1</v>
      </c>
      <c r="Q19" s="574">
        <v>800</v>
      </c>
      <c r="R19" s="574">
        <v>1182.5</v>
      </c>
      <c r="S19" s="574" t="s">
        <v>599</v>
      </c>
      <c r="T19" s="574"/>
      <c r="U19" s="574"/>
      <c r="V19" s="550"/>
      <c r="W19" s="550"/>
      <c r="X19" s="550"/>
      <c r="Y19" s="574"/>
      <c r="Z19" s="551"/>
      <c r="AA19" s="553"/>
      <c r="AB19" s="574"/>
      <c r="AC19" s="551"/>
      <c r="AE19" s="553"/>
      <c r="AF19" s="550"/>
      <c r="AG19" s="572"/>
      <c r="AK19" s="606" t="s">
        <v>473</v>
      </c>
      <c r="AL19" s="606">
        <v>7</v>
      </c>
    </row>
    <row r="20" spans="3:38" ht="15" customHeight="1" thickBot="1" x14ac:dyDescent="0.25">
      <c r="C20" s="573"/>
      <c r="D20" s="550"/>
      <c r="E20" s="550"/>
      <c r="F20" s="574"/>
      <c r="G20" s="574"/>
      <c r="J20" s="575"/>
      <c r="K20" s="564"/>
      <c r="L20" s="564"/>
      <c r="M20" s="956"/>
      <c r="N20" s="550" t="s">
        <v>561</v>
      </c>
      <c r="O20" s="550">
        <v>146.5</v>
      </c>
      <c r="P20" s="550">
        <v>1</v>
      </c>
      <c r="Q20" s="574">
        <v>998</v>
      </c>
      <c r="R20" s="574">
        <v>962.5</v>
      </c>
      <c r="S20" s="574" t="s">
        <v>598</v>
      </c>
      <c r="T20" s="574"/>
      <c r="U20" s="574" t="s">
        <v>599</v>
      </c>
      <c r="V20" s="550" t="s">
        <v>590</v>
      </c>
      <c r="W20" s="550">
        <v>1</v>
      </c>
      <c r="X20" s="638"/>
      <c r="Y20" s="574"/>
      <c r="Z20" s="551"/>
      <c r="AA20" s="553"/>
      <c r="AB20" s="574"/>
      <c r="AC20" s="560"/>
      <c r="AE20" s="553"/>
      <c r="AF20" s="550"/>
      <c r="AG20" s="572"/>
      <c r="AK20" s="606" t="s">
        <v>437</v>
      </c>
      <c r="AL20" s="606">
        <v>3.75</v>
      </c>
    </row>
    <row r="21" spans="3:38" ht="15" customHeight="1" x14ac:dyDescent="0.2">
      <c r="C21" s="573"/>
      <c r="D21" s="542" t="s">
        <v>299</v>
      </c>
      <c r="E21" s="550"/>
      <c r="F21" s="574"/>
      <c r="G21" s="574"/>
      <c r="J21" s="575"/>
      <c r="K21" s="564"/>
      <c r="L21" s="564"/>
      <c r="M21" s="956"/>
      <c r="N21" s="550" t="s">
        <v>572</v>
      </c>
      <c r="O21" s="550">
        <v>146.5</v>
      </c>
      <c r="P21" s="550">
        <v>1</v>
      </c>
      <c r="Q21" s="574">
        <v>998</v>
      </c>
      <c r="R21" s="574">
        <v>962.5</v>
      </c>
      <c r="S21" s="574" t="s">
        <v>598</v>
      </c>
      <c r="T21" s="574"/>
      <c r="U21" s="574"/>
      <c r="V21" s="550" t="s">
        <v>591</v>
      </c>
      <c r="W21" s="550">
        <v>1</v>
      </c>
      <c r="X21" s="638"/>
      <c r="Y21" s="574"/>
      <c r="Z21" s="551"/>
      <c r="AA21" s="553"/>
      <c r="AB21" s="574"/>
      <c r="AC21" s="551"/>
      <c r="AE21" s="553"/>
      <c r="AF21" s="550"/>
      <c r="AG21" s="572"/>
      <c r="AK21" s="606" t="s">
        <v>244</v>
      </c>
      <c r="AL21" s="606">
        <v>7475</v>
      </c>
    </row>
    <row r="22" spans="3:38" ht="15" customHeight="1" thickBot="1" x14ac:dyDescent="0.25">
      <c r="C22" s="573"/>
      <c r="D22" s="550"/>
      <c r="E22" s="550"/>
      <c r="F22" s="574"/>
      <c r="G22" s="574"/>
      <c r="J22" s="575"/>
      <c r="K22" s="550"/>
      <c r="L22" s="550"/>
      <c r="M22" s="956"/>
      <c r="N22" s="550" t="s">
        <v>562</v>
      </c>
      <c r="O22" s="550">
        <v>180</v>
      </c>
      <c r="P22" s="550">
        <v>1</v>
      </c>
      <c r="Q22" s="574">
        <v>998</v>
      </c>
      <c r="R22" s="574">
        <v>1182.5</v>
      </c>
      <c r="S22" s="574" t="s">
        <v>600</v>
      </c>
      <c r="T22" s="574"/>
      <c r="U22" s="574"/>
      <c r="V22" s="550" t="s">
        <v>594</v>
      </c>
      <c r="W22" s="550">
        <v>1</v>
      </c>
      <c r="X22" s="550"/>
      <c r="Y22" s="574"/>
      <c r="Z22" s="551"/>
      <c r="AA22" s="550"/>
      <c r="AB22" s="574"/>
      <c r="AC22" s="551"/>
      <c r="AE22" s="553"/>
      <c r="AF22" s="550"/>
      <c r="AG22" s="572"/>
    </row>
    <row r="23" spans="3:38" ht="15" customHeight="1" x14ac:dyDescent="0.2">
      <c r="C23" s="573"/>
      <c r="D23" s="593"/>
      <c r="E23" s="550"/>
      <c r="F23" s="574"/>
      <c r="G23" s="574"/>
      <c r="J23" s="575"/>
      <c r="K23" s="550"/>
      <c r="L23" s="550"/>
      <c r="M23" s="956"/>
      <c r="N23" s="550" t="s">
        <v>563</v>
      </c>
      <c r="O23" s="550">
        <v>139.5</v>
      </c>
      <c r="P23" s="550">
        <v>2</v>
      </c>
      <c r="Q23" s="574">
        <v>1198</v>
      </c>
      <c r="R23" s="574">
        <v>762.5</v>
      </c>
      <c r="S23" s="574" t="s">
        <v>601</v>
      </c>
      <c r="T23" s="574"/>
      <c r="U23" s="574"/>
      <c r="V23" s="550" t="s">
        <v>595</v>
      </c>
      <c r="W23" s="550">
        <v>1</v>
      </c>
      <c r="X23" s="542" t="s">
        <v>308</v>
      </c>
      <c r="Y23" s="574"/>
      <c r="Z23" s="551"/>
      <c r="AA23" s="550"/>
      <c r="AB23" s="574"/>
      <c r="AC23" s="551"/>
      <c r="AE23" s="553"/>
      <c r="AF23" s="550"/>
      <c r="AG23" s="572"/>
    </row>
    <row r="24" spans="3:38" ht="15" customHeight="1" x14ac:dyDescent="0.2">
      <c r="C24" s="573"/>
      <c r="D24" s="550"/>
      <c r="E24" s="550"/>
      <c r="F24" s="574"/>
      <c r="G24" s="574"/>
      <c r="J24" s="575"/>
      <c r="K24" s="550"/>
      <c r="L24" s="550"/>
      <c r="M24" s="956"/>
      <c r="N24" s="550" t="s">
        <v>573</v>
      </c>
      <c r="O24" s="550">
        <v>139.5</v>
      </c>
      <c r="P24" s="550">
        <v>2</v>
      </c>
      <c r="Q24" s="574">
        <v>1198</v>
      </c>
      <c r="R24" s="574">
        <v>762.5</v>
      </c>
      <c r="S24" s="574" t="s">
        <v>601</v>
      </c>
      <c r="T24" s="574"/>
      <c r="U24" s="574"/>
      <c r="V24" s="550"/>
      <c r="W24" s="550"/>
      <c r="X24" s="550"/>
      <c r="Y24" s="574"/>
      <c r="Z24" s="551"/>
      <c r="AA24" s="550"/>
      <c r="AB24" s="574"/>
      <c r="AC24" s="551"/>
      <c r="AE24" s="553"/>
      <c r="AF24" s="550"/>
      <c r="AG24" s="572"/>
    </row>
    <row r="25" spans="3:38" ht="15" customHeight="1" x14ac:dyDescent="0.2">
      <c r="C25" s="573"/>
      <c r="D25" s="550"/>
      <c r="E25" s="550"/>
      <c r="F25" s="574"/>
      <c r="G25" s="574"/>
      <c r="J25" s="575"/>
      <c r="K25" s="550"/>
      <c r="L25" s="550"/>
      <c r="M25" s="956"/>
      <c r="N25" s="550" t="s">
        <v>564</v>
      </c>
      <c r="O25" s="550">
        <v>134.5</v>
      </c>
      <c r="P25" s="550">
        <v>1</v>
      </c>
      <c r="Q25" s="574">
        <v>638</v>
      </c>
      <c r="R25" s="574">
        <v>1384.5</v>
      </c>
      <c r="S25" s="574" t="s">
        <v>599</v>
      </c>
      <c r="T25" s="574"/>
      <c r="U25" s="574" t="s">
        <v>600</v>
      </c>
      <c r="V25" s="550" t="s">
        <v>590</v>
      </c>
      <c r="W25" s="550">
        <v>1</v>
      </c>
      <c r="X25" s="550"/>
      <c r="Y25" s="574"/>
      <c r="Z25" s="551"/>
      <c r="AA25" s="550"/>
      <c r="AB25" s="574"/>
      <c r="AC25" s="561"/>
      <c r="AE25" s="605"/>
      <c r="AF25" s="604"/>
      <c r="AG25" s="572"/>
    </row>
    <row r="26" spans="3:38" ht="15" customHeight="1" thickBot="1" x14ac:dyDescent="0.25">
      <c r="C26" s="573"/>
      <c r="D26" s="550"/>
      <c r="E26" s="550"/>
      <c r="F26" s="574"/>
      <c r="G26" s="574"/>
      <c r="H26" s="552"/>
      <c r="J26" s="575"/>
      <c r="K26" s="550"/>
      <c r="L26" s="550"/>
      <c r="M26" s="956"/>
      <c r="N26" s="550" t="s">
        <v>565</v>
      </c>
      <c r="O26" s="550">
        <v>216</v>
      </c>
      <c r="P26" s="550">
        <v>2</v>
      </c>
      <c r="Q26" s="574">
        <v>1198</v>
      </c>
      <c r="R26" s="574">
        <v>1182.5</v>
      </c>
      <c r="S26" s="574" t="s">
        <v>599</v>
      </c>
      <c r="T26" s="574"/>
      <c r="U26" s="574"/>
      <c r="V26" s="550" t="s">
        <v>591</v>
      </c>
      <c r="W26" s="550">
        <v>1</v>
      </c>
      <c r="X26" s="550"/>
      <c r="Y26" s="574"/>
      <c r="Z26" s="551"/>
      <c r="AA26" s="550"/>
      <c r="AB26" s="574"/>
      <c r="AC26" s="562"/>
      <c r="AD26" s="563"/>
      <c r="AE26" s="603"/>
      <c r="AF26" s="602"/>
      <c r="AG26" s="572"/>
    </row>
    <row r="27" spans="3:38" ht="15" customHeight="1" x14ac:dyDescent="0.2">
      <c r="C27" s="573"/>
      <c r="D27" s="550"/>
      <c r="E27" s="550"/>
      <c r="F27" s="574"/>
      <c r="G27" s="574"/>
      <c r="J27" s="575"/>
      <c r="K27" s="550"/>
      <c r="L27" s="550"/>
      <c r="M27" s="956"/>
      <c r="N27" s="550" t="s">
        <v>574</v>
      </c>
      <c r="O27" s="550">
        <v>216</v>
      </c>
      <c r="P27" s="550">
        <v>2</v>
      </c>
      <c r="Q27" s="574">
        <v>1198</v>
      </c>
      <c r="R27" s="574">
        <v>1182.5</v>
      </c>
      <c r="S27" s="574" t="s">
        <v>599</v>
      </c>
      <c r="T27" s="574"/>
      <c r="U27" s="574"/>
      <c r="V27" s="550" t="s">
        <v>593</v>
      </c>
      <c r="W27" s="550">
        <v>1</v>
      </c>
      <c r="X27" s="625" t="s">
        <v>529</v>
      </c>
      <c r="Y27" s="574"/>
      <c r="Z27" s="551"/>
      <c r="AA27" s="550"/>
      <c r="AB27" s="574"/>
      <c r="AC27" s="562"/>
      <c r="AD27" s="563"/>
      <c r="AE27" s="603"/>
      <c r="AF27" s="602"/>
      <c r="AG27" s="572"/>
    </row>
    <row r="28" spans="3:38" ht="15" customHeight="1" thickBot="1" x14ac:dyDescent="0.25">
      <c r="C28" s="573"/>
      <c r="D28" s="550"/>
      <c r="E28" s="550"/>
      <c r="F28" s="574"/>
      <c r="G28" s="574"/>
      <c r="J28" s="575"/>
      <c r="K28" s="550"/>
      <c r="L28" s="550"/>
      <c r="M28" s="956"/>
      <c r="N28" s="550"/>
      <c r="O28" s="550">
        <v>0</v>
      </c>
      <c r="P28" s="550"/>
      <c r="Q28" s="574"/>
      <c r="R28" s="574"/>
      <c r="S28" s="574"/>
      <c r="T28" s="574"/>
      <c r="U28" s="574"/>
      <c r="V28" s="550" t="s">
        <v>594</v>
      </c>
      <c r="W28" s="550">
        <v>1</v>
      </c>
      <c r="X28" s="639"/>
      <c r="Y28" s="574"/>
      <c r="Z28" s="551"/>
      <c r="AA28" s="550"/>
      <c r="AB28" s="574"/>
      <c r="AC28" s="565"/>
      <c r="AD28" s="566"/>
      <c r="AE28" s="553"/>
      <c r="AF28" s="600"/>
      <c r="AG28" s="572"/>
    </row>
    <row r="29" spans="3:38" ht="15" customHeight="1" x14ac:dyDescent="0.2">
      <c r="C29" s="573"/>
      <c r="D29" s="550"/>
      <c r="E29" s="550"/>
      <c r="F29" s="574"/>
      <c r="G29" s="574"/>
      <c r="J29" s="575"/>
      <c r="K29" s="550"/>
      <c r="L29" s="550"/>
      <c r="M29" s="956"/>
      <c r="N29" s="542" t="s">
        <v>549</v>
      </c>
      <c r="O29" s="550">
        <v>0</v>
      </c>
      <c r="P29" s="550"/>
      <c r="Q29" s="574"/>
      <c r="R29" s="574"/>
      <c r="S29" s="574"/>
      <c r="T29" s="574"/>
      <c r="U29" s="574"/>
      <c r="V29" s="550" t="s">
        <v>595</v>
      </c>
      <c r="W29" s="550">
        <v>1</v>
      </c>
      <c r="X29" s="639"/>
      <c r="Y29" s="574"/>
      <c r="Z29" s="551"/>
      <c r="AA29" s="550"/>
      <c r="AB29" s="574"/>
      <c r="AC29" s="565"/>
      <c r="AD29" s="566"/>
      <c r="AE29" s="553"/>
      <c r="AF29" s="600"/>
      <c r="AG29" s="572"/>
    </row>
    <row r="30" spans="3:38" ht="15" customHeight="1" x14ac:dyDescent="0.2">
      <c r="C30" s="573"/>
      <c r="D30" s="550"/>
      <c r="E30" s="550"/>
      <c r="F30" s="574"/>
      <c r="G30" s="574"/>
      <c r="J30" s="575"/>
      <c r="K30" s="550"/>
      <c r="L30" s="550"/>
      <c r="M30" s="956"/>
      <c r="N30" s="550" t="s">
        <v>576</v>
      </c>
      <c r="O30" s="550">
        <v>39</v>
      </c>
      <c r="P30" s="550">
        <v>1</v>
      </c>
      <c r="Q30" s="574">
        <v>408</v>
      </c>
      <c r="R30" s="574">
        <v>625</v>
      </c>
      <c r="S30" s="574"/>
      <c r="T30" s="574"/>
      <c r="U30" s="574"/>
      <c r="V30" s="574"/>
      <c r="W30" s="574"/>
      <c r="X30" s="639"/>
      <c r="Y30" s="574"/>
      <c r="Z30" s="551"/>
      <c r="AA30" s="550"/>
      <c r="AB30" s="601"/>
      <c r="AC30" s="565"/>
      <c r="AD30" s="566"/>
      <c r="AE30" s="553"/>
      <c r="AF30" s="600"/>
      <c r="AG30" s="572"/>
    </row>
    <row r="31" spans="3:38" ht="15" customHeight="1" x14ac:dyDescent="0.2">
      <c r="C31" s="573"/>
      <c r="D31" s="550"/>
      <c r="E31" s="550"/>
      <c r="F31" s="574"/>
      <c r="G31" s="574"/>
      <c r="J31" s="575"/>
      <c r="K31" s="550"/>
      <c r="L31" s="550"/>
      <c r="M31" s="956"/>
      <c r="N31" s="550" t="s">
        <v>577</v>
      </c>
      <c r="O31" s="550">
        <v>51.5</v>
      </c>
      <c r="P31" s="550">
        <v>1</v>
      </c>
      <c r="Q31" s="574">
        <v>408</v>
      </c>
      <c r="R31" s="574">
        <v>825</v>
      </c>
      <c r="S31" s="574"/>
      <c r="T31" s="574"/>
      <c r="U31" s="574" t="s">
        <v>601</v>
      </c>
      <c r="V31" s="550" t="s">
        <v>590</v>
      </c>
      <c r="W31" s="574">
        <v>1</v>
      </c>
      <c r="X31" s="550"/>
      <c r="Y31" s="574"/>
      <c r="Z31" s="551"/>
      <c r="AA31" s="550"/>
      <c r="AB31" s="601"/>
      <c r="AC31" s="565"/>
      <c r="AD31" s="566"/>
      <c r="AE31" s="553"/>
      <c r="AF31" s="600"/>
      <c r="AG31" s="572"/>
    </row>
    <row r="32" spans="3:38" ht="15" customHeight="1" x14ac:dyDescent="0.2">
      <c r="C32" s="573"/>
      <c r="D32" s="550"/>
      <c r="E32" s="550"/>
      <c r="F32" s="574"/>
      <c r="G32" s="574"/>
      <c r="J32" s="575"/>
      <c r="K32" s="550"/>
      <c r="L32" s="550"/>
      <c r="M32" s="956"/>
      <c r="N32" s="550" t="s">
        <v>578</v>
      </c>
      <c r="O32" s="550">
        <v>65</v>
      </c>
      <c r="P32" s="550">
        <v>1</v>
      </c>
      <c r="Q32" s="574">
        <v>518</v>
      </c>
      <c r="R32" s="574">
        <v>825</v>
      </c>
      <c r="S32" s="574"/>
      <c r="T32" s="574"/>
      <c r="U32" s="574"/>
      <c r="V32" s="550" t="s">
        <v>591</v>
      </c>
      <c r="W32" s="574">
        <v>1</v>
      </c>
      <c r="X32" s="550"/>
      <c r="Y32" s="574"/>
      <c r="Z32" s="551"/>
      <c r="AA32" s="550"/>
      <c r="AB32" s="601"/>
      <c r="AC32" s="565"/>
      <c r="AD32" s="566"/>
      <c r="AE32" s="553"/>
      <c r="AF32" s="600"/>
      <c r="AG32" s="572"/>
    </row>
    <row r="33" spans="3:33" ht="15" customHeight="1" x14ac:dyDescent="0.2">
      <c r="C33" s="573"/>
      <c r="D33" s="550"/>
      <c r="E33" s="550"/>
      <c r="F33" s="574"/>
      <c r="G33" s="574"/>
      <c r="J33" s="575"/>
      <c r="K33" s="550"/>
      <c r="L33" s="550"/>
      <c r="M33" s="956"/>
      <c r="N33" s="550" t="s">
        <v>579</v>
      </c>
      <c r="O33" s="550">
        <v>81</v>
      </c>
      <c r="P33" s="550">
        <v>1</v>
      </c>
      <c r="Q33" s="574">
        <v>518</v>
      </c>
      <c r="R33" s="574">
        <v>1025</v>
      </c>
      <c r="S33" s="574"/>
      <c r="T33" s="574"/>
      <c r="U33" s="574"/>
      <c r="V33" s="550" t="s">
        <v>593</v>
      </c>
      <c r="W33" s="574">
        <v>1</v>
      </c>
      <c r="X33" s="550"/>
      <c r="Y33" s="574"/>
      <c r="Z33" s="551"/>
      <c r="AA33" s="550"/>
      <c r="AB33" s="601"/>
      <c r="AC33" s="565"/>
      <c r="AD33" s="566"/>
      <c r="AE33" s="553"/>
      <c r="AF33" s="600"/>
      <c r="AG33" s="572"/>
    </row>
    <row r="34" spans="3:33" ht="15" customHeight="1" x14ac:dyDescent="0.2">
      <c r="C34" s="573"/>
      <c r="D34" s="550"/>
      <c r="E34" s="550"/>
      <c r="F34" s="574"/>
      <c r="G34" s="574"/>
      <c r="J34" s="575"/>
      <c r="K34" s="550"/>
      <c r="L34" s="550"/>
      <c r="M34" s="956"/>
      <c r="N34" s="550" t="s">
        <v>580</v>
      </c>
      <c r="O34" s="550">
        <v>80.5</v>
      </c>
      <c r="P34" s="550">
        <v>1</v>
      </c>
      <c r="Q34" s="574">
        <v>638</v>
      </c>
      <c r="R34" s="574">
        <v>825</v>
      </c>
      <c r="S34" s="574"/>
      <c r="T34" s="574"/>
      <c r="U34" s="574"/>
      <c r="V34" s="574"/>
      <c r="W34" s="574"/>
      <c r="X34" s="550"/>
      <c r="Y34" s="574"/>
      <c r="Z34" s="551"/>
      <c r="AA34" s="550"/>
      <c r="AB34" s="601"/>
      <c r="AC34" s="565"/>
      <c r="AD34" s="566"/>
      <c r="AE34" s="553"/>
      <c r="AF34" s="600"/>
      <c r="AG34" s="572"/>
    </row>
    <row r="35" spans="3:33" ht="15" customHeight="1" x14ac:dyDescent="0.2">
      <c r="C35" s="573"/>
      <c r="D35" s="550"/>
      <c r="G35" s="574"/>
      <c r="J35" s="575"/>
      <c r="K35" s="550"/>
      <c r="L35" s="550"/>
      <c r="M35" s="956"/>
      <c r="N35" s="550" t="s">
        <v>581</v>
      </c>
      <c r="O35" s="550">
        <v>100</v>
      </c>
      <c r="P35" s="550">
        <v>1</v>
      </c>
      <c r="Q35" s="574">
        <v>638</v>
      </c>
      <c r="R35" s="574">
        <v>1025</v>
      </c>
      <c r="S35" s="574"/>
      <c r="T35" s="574"/>
      <c r="U35" s="574" t="s">
        <v>606</v>
      </c>
      <c r="V35" s="574" t="s">
        <v>590</v>
      </c>
      <c r="W35" s="574">
        <v>1</v>
      </c>
      <c r="X35" s="550"/>
      <c r="Y35" s="574"/>
      <c r="Z35" s="551"/>
      <c r="AA35" s="550"/>
      <c r="AB35" s="601"/>
      <c r="AC35" s="565"/>
      <c r="AD35" s="566"/>
      <c r="AE35" s="553"/>
      <c r="AF35" s="600"/>
      <c r="AG35" s="572"/>
    </row>
    <row r="36" spans="3:33" ht="15" customHeight="1" x14ac:dyDescent="0.2">
      <c r="C36" s="573"/>
      <c r="D36" s="550"/>
      <c r="G36" s="574"/>
      <c r="J36" s="575"/>
      <c r="K36" s="550"/>
      <c r="L36" s="550"/>
      <c r="M36" s="956"/>
      <c r="N36" s="550" t="s">
        <v>582</v>
      </c>
      <c r="O36" s="550">
        <v>121</v>
      </c>
      <c r="P36" s="550">
        <v>1</v>
      </c>
      <c r="Q36" s="574">
        <v>638</v>
      </c>
      <c r="R36" s="574">
        <v>1245</v>
      </c>
      <c r="S36" s="574"/>
      <c r="T36" s="574"/>
      <c r="U36" s="574"/>
      <c r="V36" s="574" t="s">
        <v>591</v>
      </c>
      <c r="W36" s="574">
        <v>1</v>
      </c>
      <c r="X36" s="550"/>
      <c r="Y36" s="574"/>
      <c r="Z36" s="551"/>
      <c r="AA36" s="550"/>
      <c r="AB36" s="601"/>
      <c r="AC36" s="565"/>
      <c r="AD36" s="566"/>
      <c r="AE36" s="553"/>
      <c r="AF36" s="600"/>
      <c r="AG36" s="572"/>
    </row>
    <row r="37" spans="3:33" ht="15" customHeight="1" x14ac:dyDescent="0.2">
      <c r="D37" s="550"/>
      <c r="G37" s="574"/>
      <c r="J37" s="575"/>
      <c r="K37" s="550"/>
      <c r="L37" s="550"/>
      <c r="M37" s="956"/>
      <c r="N37" s="550" t="s">
        <v>583</v>
      </c>
      <c r="O37" s="550">
        <v>125</v>
      </c>
      <c r="P37" s="550">
        <v>1</v>
      </c>
      <c r="Q37" s="574">
        <v>798</v>
      </c>
      <c r="R37" s="574">
        <v>1025</v>
      </c>
      <c r="S37" s="574"/>
      <c r="T37" s="574"/>
      <c r="U37" s="574"/>
      <c r="V37" s="574" t="s">
        <v>594</v>
      </c>
      <c r="W37" s="574">
        <v>1</v>
      </c>
      <c r="X37" s="550"/>
      <c r="Y37" s="574"/>
      <c r="Z37" s="551"/>
      <c r="AA37" s="550"/>
      <c r="AB37" s="601"/>
      <c r="AC37" s="565"/>
      <c r="AD37" s="566"/>
      <c r="AE37" s="553"/>
      <c r="AF37" s="600"/>
      <c r="AG37" s="572"/>
    </row>
    <row r="38" spans="3:33" ht="15" customHeight="1" x14ac:dyDescent="0.2">
      <c r="D38" s="550"/>
      <c r="G38" s="574"/>
      <c r="J38" s="575"/>
      <c r="K38" s="550"/>
      <c r="L38" s="550"/>
      <c r="M38" s="956"/>
      <c r="N38" s="550" t="s">
        <v>584</v>
      </c>
      <c r="O38" s="550">
        <v>151.5</v>
      </c>
      <c r="P38" s="550">
        <v>1</v>
      </c>
      <c r="Q38" s="574">
        <v>798</v>
      </c>
      <c r="R38" s="574">
        <v>1245</v>
      </c>
      <c r="S38" s="574"/>
      <c r="T38" s="574"/>
      <c r="U38" s="574"/>
      <c r="V38" s="574"/>
      <c r="W38" s="574"/>
      <c r="X38" s="550"/>
      <c r="Y38" s="574"/>
      <c r="Z38" s="551"/>
      <c r="AA38" s="550"/>
      <c r="AB38" s="574"/>
      <c r="AC38" s="565"/>
      <c r="AD38" s="566"/>
      <c r="AE38" s="553"/>
      <c r="AF38" s="600"/>
      <c r="AG38" s="572"/>
    </row>
    <row r="39" spans="3:33" ht="15" customHeight="1" x14ac:dyDescent="0.2">
      <c r="D39" s="550"/>
      <c r="G39" s="574"/>
      <c r="J39" s="575"/>
      <c r="K39" s="550"/>
      <c r="L39" s="550"/>
      <c r="M39" s="956"/>
      <c r="N39" s="550" t="s">
        <v>585</v>
      </c>
      <c r="O39" s="550">
        <v>156</v>
      </c>
      <c r="P39" s="550">
        <v>1</v>
      </c>
      <c r="Q39" s="574">
        <v>998</v>
      </c>
      <c r="R39" s="574">
        <v>1025</v>
      </c>
      <c r="S39" s="574"/>
      <c r="T39" s="574"/>
      <c r="U39" s="574"/>
      <c r="V39" s="574"/>
      <c r="W39" s="574"/>
      <c r="X39" s="550"/>
      <c r="Y39" s="574"/>
      <c r="Z39" s="551"/>
      <c r="AA39" s="550"/>
      <c r="AB39" s="574"/>
      <c r="AC39" s="565"/>
      <c r="AD39" s="566"/>
      <c r="AE39" s="553"/>
      <c r="AF39" s="600"/>
      <c r="AG39" s="572"/>
    </row>
    <row r="40" spans="3:33" ht="15" customHeight="1" x14ac:dyDescent="0.2">
      <c r="D40" s="550"/>
      <c r="G40" s="574"/>
      <c r="J40" s="575"/>
      <c r="K40" s="550"/>
      <c r="L40" s="550"/>
      <c r="M40" s="956"/>
      <c r="N40" s="550" t="s">
        <v>586</v>
      </c>
      <c r="O40" s="550">
        <v>189.5</v>
      </c>
      <c r="P40" s="550">
        <v>1</v>
      </c>
      <c r="Q40" s="574">
        <v>998</v>
      </c>
      <c r="R40" s="574">
        <v>1245</v>
      </c>
      <c r="S40" s="574"/>
      <c r="T40" s="574"/>
      <c r="U40" s="574"/>
      <c r="V40" s="574"/>
      <c r="W40" s="574"/>
      <c r="X40" s="550"/>
      <c r="Y40" s="574"/>
      <c r="Z40" s="551"/>
      <c r="AA40" s="550"/>
      <c r="AB40" s="574"/>
      <c r="AC40" s="567"/>
      <c r="AD40" s="568"/>
      <c r="AE40" s="569"/>
      <c r="AF40" s="598"/>
      <c r="AG40" s="572"/>
    </row>
    <row r="41" spans="3:33" ht="15" customHeight="1" x14ac:dyDescent="0.2">
      <c r="D41" s="550"/>
      <c r="G41" s="574"/>
      <c r="J41" s="575"/>
      <c r="K41" s="550"/>
      <c r="L41" s="550"/>
      <c r="M41" s="956"/>
      <c r="N41" s="550" t="s">
        <v>587</v>
      </c>
      <c r="O41" s="550">
        <v>150.55000000000001</v>
      </c>
      <c r="P41" s="550">
        <v>2</v>
      </c>
      <c r="Q41" s="574">
        <v>1198</v>
      </c>
      <c r="R41" s="574">
        <v>825</v>
      </c>
      <c r="S41" s="574"/>
      <c r="T41" s="574"/>
      <c r="U41" s="574"/>
      <c r="V41" s="574"/>
      <c r="W41" s="574"/>
      <c r="X41" s="550"/>
      <c r="Y41" s="574"/>
      <c r="Z41" s="551"/>
      <c r="AA41" s="550"/>
      <c r="AB41" s="574"/>
      <c r="AC41" s="567"/>
      <c r="AD41" s="568"/>
      <c r="AE41" s="569"/>
      <c r="AF41" s="598"/>
      <c r="AG41" s="572"/>
    </row>
    <row r="42" spans="3:33" x14ac:dyDescent="0.2">
      <c r="D42" s="550"/>
      <c r="G42" s="574"/>
      <c r="J42" s="575"/>
      <c r="K42" s="550"/>
      <c r="L42" s="550"/>
      <c r="M42" s="956"/>
      <c r="N42" s="550" t="s">
        <v>588</v>
      </c>
      <c r="O42" s="550">
        <v>227.5</v>
      </c>
      <c r="P42" s="550">
        <v>2</v>
      </c>
      <c r="Q42" s="574">
        <v>1198</v>
      </c>
      <c r="R42" s="574">
        <v>1245</v>
      </c>
      <c r="S42" s="574"/>
      <c r="T42" s="574"/>
      <c r="U42" s="574"/>
      <c r="V42" s="574"/>
      <c r="W42" s="574"/>
      <c r="X42" s="550"/>
      <c r="Y42" s="574"/>
      <c r="Z42" s="551"/>
      <c r="AA42" s="550"/>
      <c r="AB42" s="574"/>
      <c r="AC42" s="572"/>
      <c r="AD42" s="571"/>
      <c r="AE42" s="571"/>
      <c r="AF42" s="597"/>
      <c r="AG42" s="572"/>
    </row>
    <row r="43" spans="3:33" ht="12.75" thickBot="1" x14ac:dyDescent="0.25">
      <c r="D43" s="550"/>
      <c r="G43" s="574"/>
      <c r="J43" s="575"/>
      <c r="K43" s="550"/>
      <c r="L43" s="550"/>
      <c r="M43" s="956"/>
      <c r="N43" s="550" t="s">
        <v>589</v>
      </c>
      <c r="O43" s="550">
        <v>176</v>
      </c>
      <c r="P43" s="550">
        <v>1</v>
      </c>
      <c r="Q43" s="574">
        <v>798</v>
      </c>
      <c r="R43" s="574">
        <v>1445</v>
      </c>
      <c r="S43" s="574"/>
      <c r="T43" s="574"/>
      <c r="U43" s="574"/>
      <c r="V43" s="574"/>
      <c r="W43" s="574"/>
      <c r="X43" s="550"/>
      <c r="Y43" s="574"/>
      <c r="Z43" s="551"/>
      <c r="AA43" s="550"/>
      <c r="AB43" s="574"/>
      <c r="AC43" s="572"/>
      <c r="AD43" s="596"/>
      <c r="AE43" s="596"/>
      <c r="AF43" s="550"/>
      <c r="AG43" s="572"/>
    </row>
    <row r="44" spans="3:33" x14ac:dyDescent="0.2">
      <c r="D44" s="550"/>
      <c r="G44" s="574"/>
      <c r="J44" s="575"/>
      <c r="K44" s="550"/>
      <c r="L44" s="550"/>
      <c r="M44" s="574"/>
      <c r="N44" s="550"/>
      <c r="O44" s="550"/>
      <c r="P44" s="550"/>
      <c r="Q44" s="574"/>
      <c r="R44" s="574"/>
      <c r="S44" s="574"/>
      <c r="T44" s="574"/>
      <c r="U44" s="574"/>
      <c r="V44" s="542" t="s">
        <v>345</v>
      </c>
      <c r="W44" s="542"/>
      <c r="X44" s="550"/>
      <c r="Y44" s="574"/>
      <c r="Z44" s="551"/>
      <c r="AA44" s="550"/>
      <c r="AB44" s="574"/>
      <c r="AC44" s="572"/>
      <c r="AD44" s="596"/>
      <c r="AE44" s="596"/>
      <c r="AF44" s="550"/>
      <c r="AG44" s="572"/>
    </row>
    <row r="45" spans="3:33" x14ac:dyDescent="0.2">
      <c r="D45" s="550"/>
      <c r="G45" s="574"/>
      <c r="J45" s="575"/>
      <c r="K45" s="550"/>
      <c r="L45" s="550"/>
      <c r="M45" s="574"/>
      <c r="N45" s="550"/>
      <c r="O45" s="550"/>
      <c r="P45" s="550"/>
      <c r="Q45" s="574"/>
      <c r="R45" s="574"/>
      <c r="S45" s="574"/>
      <c r="T45" s="574"/>
      <c r="U45" s="574"/>
      <c r="V45" s="550"/>
      <c r="W45" s="550"/>
      <c r="X45" s="550"/>
      <c r="Y45" s="574"/>
      <c r="Z45" s="551"/>
      <c r="AA45" s="550"/>
      <c r="AB45" s="574"/>
      <c r="AC45" s="572"/>
      <c r="AD45" s="596"/>
      <c r="AE45" s="596"/>
      <c r="AF45" s="550"/>
      <c r="AG45" s="572"/>
    </row>
    <row r="46" spans="3:33" x14ac:dyDescent="0.2">
      <c r="D46" s="550"/>
      <c r="G46" s="574"/>
      <c r="J46" s="575"/>
      <c r="K46" s="550"/>
      <c r="L46" s="550"/>
      <c r="M46" s="574"/>
      <c r="N46" s="550"/>
      <c r="O46" s="550"/>
      <c r="P46" s="550"/>
      <c r="Q46" s="574"/>
      <c r="R46" s="574"/>
      <c r="S46" s="574"/>
      <c r="T46" s="574"/>
      <c r="U46" s="574"/>
      <c r="V46" s="550"/>
      <c r="W46" s="550"/>
      <c r="X46" s="550"/>
      <c r="Y46" s="574"/>
      <c r="Z46" s="551"/>
      <c r="AA46" s="550"/>
      <c r="AB46" s="574"/>
      <c r="AC46" s="572"/>
      <c r="AD46" s="596"/>
      <c r="AE46" s="596"/>
      <c r="AF46" s="550"/>
      <c r="AG46" s="572"/>
    </row>
    <row r="47" spans="3:33" x14ac:dyDescent="0.2">
      <c r="G47" s="574"/>
      <c r="J47" s="575"/>
      <c r="K47" s="550"/>
      <c r="L47" s="550"/>
      <c r="M47" s="574"/>
      <c r="N47" s="550"/>
      <c r="O47" s="550"/>
      <c r="P47" s="550"/>
      <c r="Q47" s="574"/>
      <c r="R47" s="574"/>
      <c r="S47" s="574"/>
      <c r="T47" s="574"/>
      <c r="U47" s="574"/>
      <c r="V47" s="550"/>
      <c r="W47" s="550"/>
      <c r="X47" s="550"/>
      <c r="Y47" s="574"/>
      <c r="Z47" s="551"/>
      <c r="AA47" s="550"/>
      <c r="AB47" s="574"/>
      <c r="AC47" s="572"/>
      <c r="AD47" s="596"/>
      <c r="AE47" s="596"/>
      <c r="AF47" s="550"/>
      <c r="AG47" s="572"/>
    </row>
    <row r="48" spans="3:33" x14ac:dyDescent="0.2">
      <c r="G48" s="574"/>
      <c r="J48" s="575"/>
      <c r="K48" s="550"/>
      <c r="L48" s="550"/>
      <c r="M48" s="574"/>
      <c r="N48" s="550"/>
      <c r="O48" s="550"/>
      <c r="P48" s="550"/>
      <c r="Q48" s="574"/>
      <c r="R48" s="574"/>
      <c r="S48" s="574"/>
      <c r="T48" s="574"/>
      <c r="U48" s="574"/>
      <c r="V48" s="550"/>
      <c r="W48" s="550"/>
      <c r="X48" s="550"/>
      <c r="Y48" s="574"/>
      <c r="Z48" s="551"/>
      <c r="AA48" s="550"/>
      <c r="AB48" s="574"/>
      <c r="AC48" s="576"/>
      <c r="AD48" s="576"/>
      <c r="AE48" s="576"/>
      <c r="AF48" s="550"/>
      <c r="AG48" s="572"/>
    </row>
    <row r="49" spans="7:33" x14ac:dyDescent="0.2">
      <c r="G49" s="574"/>
      <c r="J49" s="575"/>
      <c r="K49" s="550"/>
      <c r="L49" s="550"/>
      <c r="M49" s="574"/>
      <c r="N49" s="550"/>
      <c r="O49" s="550"/>
      <c r="P49" s="550"/>
      <c r="Q49" s="574"/>
      <c r="R49" s="574"/>
      <c r="S49" s="574"/>
      <c r="T49" s="574"/>
      <c r="U49" s="574"/>
      <c r="V49" s="550"/>
      <c r="W49" s="550"/>
      <c r="X49" s="550"/>
      <c r="Y49" s="574"/>
      <c r="Z49" s="551"/>
      <c r="AA49" s="550"/>
      <c r="AB49" s="574"/>
      <c r="AC49" s="572"/>
      <c r="AD49" s="553"/>
      <c r="AE49" s="553"/>
      <c r="AF49" s="550"/>
      <c r="AG49" s="572"/>
    </row>
    <row r="50" spans="7:33" x14ac:dyDescent="0.2">
      <c r="G50" s="574"/>
      <c r="J50" s="575"/>
      <c r="K50" s="550"/>
      <c r="L50" s="550"/>
      <c r="M50" s="574"/>
      <c r="N50" s="550"/>
      <c r="O50" s="550"/>
      <c r="P50" s="550"/>
      <c r="Q50" s="574"/>
      <c r="R50" s="574"/>
      <c r="S50" s="574"/>
      <c r="T50" s="574"/>
      <c r="U50" s="574"/>
      <c r="V50" s="550"/>
      <c r="W50" s="550"/>
      <c r="X50" s="550"/>
      <c r="Y50" s="574"/>
      <c r="Z50" s="551"/>
      <c r="AA50" s="550"/>
      <c r="AB50" s="574"/>
      <c r="AC50" s="572"/>
      <c r="AD50" s="553"/>
      <c r="AE50" s="553"/>
      <c r="AF50" s="550"/>
      <c r="AG50" s="572"/>
    </row>
    <row r="51" spans="7:33" ht="12.75" thickBot="1" x14ac:dyDescent="0.25">
      <c r="G51" s="574"/>
      <c r="J51" s="575"/>
      <c r="K51" s="550"/>
      <c r="L51" s="550"/>
      <c r="M51" s="574"/>
      <c r="N51" s="550"/>
      <c r="O51" s="550"/>
      <c r="P51" s="550"/>
      <c r="Q51" s="574"/>
      <c r="R51" s="574"/>
      <c r="S51" s="574"/>
      <c r="T51" s="574"/>
      <c r="U51" s="574"/>
      <c r="V51" s="550"/>
      <c r="W51" s="550"/>
      <c r="X51" s="550"/>
      <c r="Y51" s="574"/>
      <c r="Z51" s="551"/>
      <c r="AA51" s="550"/>
      <c r="AB51" s="574"/>
      <c r="AC51" s="572"/>
      <c r="AD51" s="553"/>
      <c r="AE51" s="553"/>
      <c r="AF51" s="550"/>
      <c r="AG51" s="572"/>
    </row>
    <row r="52" spans="7:33" x14ac:dyDescent="0.2">
      <c r="G52" s="574"/>
      <c r="J52" s="575"/>
      <c r="K52" s="550"/>
      <c r="L52" s="550"/>
      <c r="M52" s="574"/>
      <c r="N52" s="550"/>
      <c r="O52" s="550"/>
      <c r="P52" s="550"/>
      <c r="Q52" s="574"/>
      <c r="R52" s="574"/>
      <c r="S52" s="574"/>
      <c r="T52" s="574"/>
      <c r="U52" s="574"/>
      <c r="V52" s="625" t="s">
        <v>535</v>
      </c>
      <c r="W52" s="625"/>
      <c r="X52" s="550"/>
      <c r="Y52" s="574"/>
      <c r="Z52" s="551"/>
      <c r="AA52" s="550"/>
      <c r="AB52" s="574"/>
      <c r="AC52" s="572"/>
      <c r="AD52" s="553"/>
      <c r="AE52" s="553"/>
      <c r="AF52" s="550"/>
      <c r="AG52" s="572"/>
    </row>
    <row r="53" spans="7:33" x14ac:dyDescent="0.2">
      <c r="G53" s="574"/>
      <c r="J53" s="575"/>
      <c r="K53" s="550"/>
      <c r="L53" s="550"/>
      <c r="M53" s="574"/>
      <c r="N53" s="550"/>
      <c r="O53" s="550"/>
      <c r="P53" s="550"/>
      <c r="Q53" s="574"/>
      <c r="R53" s="574"/>
      <c r="U53" s="574"/>
      <c r="V53" s="638"/>
      <c r="W53" s="638"/>
      <c r="X53" s="550"/>
      <c r="Y53" s="574"/>
      <c r="Z53" s="551"/>
      <c r="AA53" s="550"/>
      <c r="AB53" s="574"/>
      <c r="AC53" s="572"/>
      <c r="AD53" s="553"/>
      <c r="AE53" s="553"/>
      <c r="AF53" s="550"/>
      <c r="AG53" s="572"/>
    </row>
    <row r="54" spans="7:33" x14ac:dyDescent="0.2">
      <c r="G54" s="574"/>
      <c r="J54" s="575"/>
      <c r="K54" s="550"/>
      <c r="L54" s="550"/>
      <c r="M54" s="574"/>
      <c r="N54" s="550"/>
      <c r="O54" s="550"/>
      <c r="P54" s="550"/>
      <c r="Q54" s="574"/>
      <c r="R54" s="574"/>
      <c r="U54" s="574"/>
      <c r="V54" s="638"/>
      <c r="W54" s="638"/>
      <c r="X54" s="550"/>
      <c r="Y54" s="574"/>
      <c r="Z54" s="551"/>
      <c r="AA54" s="550"/>
      <c r="AB54" s="574"/>
      <c r="AC54" s="572"/>
      <c r="AD54" s="572"/>
      <c r="AE54" s="572"/>
      <c r="AF54" s="550"/>
      <c r="AG54" s="572"/>
    </row>
    <row r="55" spans="7:33" x14ac:dyDescent="0.2">
      <c r="G55" s="574"/>
      <c r="J55" s="575"/>
      <c r="K55" s="550"/>
      <c r="L55" s="550"/>
      <c r="M55" s="574"/>
      <c r="N55" s="550"/>
      <c r="O55" s="550"/>
      <c r="P55" s="550"/>
      <c r="Q55" s="574"/>
      <c r="R55" s="574"/>
      <c r="U55" s="574"/>
      <c r="V55" s="638"/>
      <c r="W55" s="638"/>
      <c r="X55" s="550"/>
      <c r="Y55" s="574"/>
      <c r="Z55" s="551"/>
      <c r="AA55" s="550"/>
      <c r="AB55" s="574"/>
      <c r="AC55" s="572"/>
      <c r="AD55" s="572"/>
      <c r="AE55" s="572"/>
      <c r="AF55" s="550"/>
      <c r="AG55" s="572"/>
    </row>
    <row r="56" spans="7:33" x14ac:dyDescent="0.2">
      <c r="G56" s="574"/>
      <c r="J56" s="574"/>
      <c r="K56" s="550"/>
      <c r="L56" s="550"/>
      <c r="M56" s="574"/>
      <c r="N56" s="550"/>
      <c r="O56" s="550"/>
      <c r="P56" s="550"/>
      <c r="Q56" s="574"/>
      <c r="R56" s="574"/>
      <c r="U56" s="574"/>
      <c r="V56" s="638"/>
      <c r="W56" s="638"/>
      <c r="X56" s="550"/>
      <c r="Y56" s="574"/>
      <c r="Z56" s="551"/>
      <c r="AA56" s="550"/>
      <c r="AB56" s="574"/>
      <c r="AC56" s="572"/>
      <c r="AD56" s="572"/>
      <c r="AE56" s="572"/>
      <c r="AF56" s="550"/>
      <c r="AG56" s="572"/>
    </row>
    <row r="57" spans="7:33" x14ac:dyDescent="0.2">
      <c r="G57" s="574"/>
      <c r="J57" s="574"/>
      <c r="K57" s="550"/>
      <c r="L57" s="550"/>
      <c r="M57" s="574"/>
      <c r="N57" s="550"/>
      <c r="O57" s="550"/>
      <c r="P57" s="550"/>
      <c r="Q57" s="574"/>
      <c r="R57" s="574"/>
      <c r="U57" s="574"/>
      <c r="V57" s="638"/>
      <c r="W57" s="638"/>
      <c r="X57" s="550"/>
      <c r="Y57" s="574"/>
      <c r="Z57" s="551"/>
      <c r="AA57" s="550"/>
      <c r="AB57" s="574"/>
      <c r="AC57" s="572"/>
      <c r="AD57" s="572"/>
      <c r="AE57" s="572"/>
      <c r="AF57" s="550"/>
      <c r="AG57" s="572"/>
    </row>
    <row r="58" spans="7:33" x14ac:dyDescent="0.2">
      <c r="G58" s="574"/>
      <c r="J58" s="574"/>
      <c r="K58" s="550"/>
      <c r="L58" s="550"/>
      <c r="M58" s="574"/>
      <c r="N58" s="550"/>
      <c r="O58" s="550"/>
      <c r="P58" s="550"/>
      <c r="Q58" s="574"/>
      <c r="R58" s="574"/>
      <c r="U58" s="574"/>
      <c r="V58" s="638"/>
      <c r="W58" s="638"/>
      <c r="X58" s="550"/>
      <c r="Y58" s="574"/>
      <c r="Z58" s="551"/>
      <c r="AA58" s="550"/>
      <c r="AB58" s="574"/>
      <c r="AC58" s="572"/>
      <c r="AD58" s="572"/>
      <c r="AE58" s="572"/>
      <c r="AF58" s="550"/>
      <c r="AG58" s="572"/>
    </row>
    <row r="59" spans="7:33" x14ac:dyDescent="0.2">
      <c r="N59" s="550"/>
      <c r="O59" s="550"/>
      <c r="P59" s="550"/>
      <c r="Q59" s="574"/>
      <c r="R59" s="574"/>
      <c r="V59" s="638"/>
      <c r="W59" s="638"/>
      <c r="X59" s="550"/>
      <c r="Z59" s="551"/>
      <c r="AA59" s="550"/>
      <c r="AC59" s="572"/>
      <c r="AD59" s="572"/>
      <c r="AE59" s="572"/>
      <c r="AF59" s="550"/>
      <c r="AG59" s="572"/>
    </row>
    <row r="60" spans="7:33" x14ac:dyDescent="0.2">
      <c r="N60" s="550"/>
      <c r="O60" s="550"/>
      <c r="P60" s="550"/>
      <c r="Q60" s="574"/>
      <c r="R60" s="574"/>
      <c r="V60" s="638"/>
      <c r="W60" s="638"/>
      <c r="X60" s="550"/>
      <c r="Z60" s="551"/>
      <c r="AA60" s="550"/>
      <c r="AC60" s="572"/>
      <c r="AD60" s="572"/>
      <c r="AE60" s="572"/>
      <c r="AF60" s="550"/>
      <c r="AG60" s="572"/>
    </row>
    <row r="61" spans="7:33" x14ac:dyDescent="0.2">
      <c r="N61" s="550"/>
      <c r="O61" s="550"/>
      <c r="P61" s="550"/>
      <c r="Q61" s="574"/>
      <c r="R61" s="574"/>
      <c r="V61" s="638"/>
      <c r="W61" s="638"/>
      <c r="Z61" s="551"/>
      <c r="AA61" s="550"/>
      <c r="AC61" s="572"/>
      <c r="AD61" s="572"/>
      <c r="AE61" s="572"/>
      <c r="AF61" s="550"/>
      <c r="AG61" s="572"/>
    </row>
    <row r="62" spans="7:33" x14ac:dyDescent="0.2">
      <c r="N62" s="550"/>
      <c r="O62" s="550"/>
      <c r="V62" s="638"/>
      <c r="W62" s="638"/>
      <c r="Z62" s="551"/>
      <c r="AA62" s="550"/>
      <c r="AF62" s="550"/>
      <c r="AG62" s="572"/>
    </row>
    <row r="63" spans="7:33" x14ac:dyDescent="0.2">
      <c r="N63" s="550"/>
      <c r="O63" s="550"/>
      <c r="V63" s="550"/>
      <c r="W63" s="550"/>
      <c r="Z63" s="551"/>
      <c r="AA63" s="550"/>
      <c r="AC63" s="550"/>
      <c r="AD63" s="550"/>
      <c r="AE63" s="550"/>
      <c r="AF63" s="550"/>
      <c r="AG63" s="572"/>
    </row>
    <row r="64" spans="7:33" x14ac:dyDescent="0.2">
      <c r="N64" s="550"/>
      <c r="O64" s="550"/>
      <c r="V64" s="550"/>
      <c r="W64" s="550"/>
      <c r="Z64" s="551"/>
      <c r="AA64" s="550"/>
      <c r="AC64" s="550"/>
      <c r="AD64" s="550"/>
      <c r="AE64" s="550"/>
      <c r="AF64" s="550"/>
      <c r="AG64" s="572"/>
    </row>
    <row r="65" spans="22:33" x14ac:dyDescent="0.2">
      <c r="V65" s="550"/>
      <c r="W65" s="550"/>
      <c r="Z65" s="551"/>
      <c r="AA65" s="550"/>
      <c r="AC65" s="550"/>
      <c r="AD65" s="550"/>
      <c r="AE65" s="550"/>
      <c r="AF65" s="550"/>
      <c r="AG65" s="572"/>
    </row>
    <row r="66" spans="22:33" x14ac:dyDescent="0.2">
      <c r="V66" s="550"/>
      <c r="W66" s="550"/>
      <c r="Z66" s="551"/>
      <c r="AA66" s="550"/>
      <c r="AC66" s="550"/>
      <c r="AD66" s="550"/>
      <c r="AE66" s="550"/>
      <c r="AF66" s="550"/>
      <c r="AG66" s="572"/>
    </row>
    <row r="67" spans="22:33" x14ac:dyDescent="0.2">
      <c r="V67" s="550"/>
      <c r="W67" s="550"/>
      <c r="Z67" s="551"/>
      <c r="AA67" s="550"/>
      <c r="AC67" s="550"/>
      <c r="AD67" s="550"/>
      <c r="AE67" s="550"/>
      <c r="AF67" s="550"/>
      <c r="AG67" s="572"/>
    </row>
    <row r="68" spans="22:33" x14ac:dyDescent="0.2">
      <c r="V68" s="550"/>
      <c r="W68" s="550"/>
      <c r="Z68" s="551"/>
      <c r="AA68" s="550"/>
      <c r="AC68" s="550"/>
      <c r="AD68" s="550"/>
      <c r="AE68" s="550"/>
      <c r="AF68" s="550"/>
      <c r="AG68" s="572"/>
    </row>
    <row r="69" spans="22:33" x14ac:dyDescent="0.2">
      <c r="V69" s="550"/>
      <c r="W69" s="550"/>
      <c r="Z69" s="551"/>
      <c r="AA69" s="550"/>
      <c r="AC69" s="550"/>
      <c r="AD69" s="550"/>
      <c r="AE69" s="550"/>
      <c r="AF69" s="550"/>
    </row>
    <row r="70" spans="22:33" x14ac:dyDescent="0.2">
      <c r="V70" s="550"/>
      <c r="W70" s="550"/>
      <c r="AC70" s="550"/>
      <c r="AD70" s="550"/>
      <c r="AE70" s="550"/>
      <c r="AF70" s="550"/>
    </row>
    <row r="71" spans="22:33" x14ac:dyDescent="0.2">
      <c r="V71" s="550"/>
      <c r="W71" s="550"/>
      <c r="AC71" s="550"/>
      <c r="AD71" s="572"/>
      <c r="AE71" s="572"/>
    </row>
    <row r="72" spans="22:33" x14ac:dyDescent="0.2">
      <c r="V72" s="550"/>
      <c r="W72" s="550"/>
      <c r="AC72" s="550"/>
      <c r="AD72" s="572"/>
      <c r="AE72" s="572"/>
    </row>
    <row r="73" spans="22:33" x14ac:dyDescent="0.2">
      <c r="V73" s="550"/>
      <c r="W73" s="550"/>
      <c r="AC73" s="550"/>
      <c r="AD73" s="572"/>
      <c r="AE73" s="572"/>
    </row>
    <row r="74" spans="22:33" x14ac:dyDescent="0.2">
      <c r="V74" s="550"/>
      <c r="W74" s="550"/>
      <c r="AC74" s="550"/>
      <c r="AD74" s="572"/>
      <c r="AE74" s="572"/>
    </row>
    <row r="75" spans="22:33" x14ac:dyDescent="0.2">
      <c r="V75" s="550"/>
      <c r="W75" s="550"/>
      <c r="AC75" s="550"/>
      <c r="AD75" s="572"/>
      <c r="AE75" s="572"/>
    </row>
    <row r="76" spans="22:33" x14ac:dyDescent="0.2">
      <c r="V76" s="550"/>
      <c r="W76" s="550"/>
      <c r="AC76" s="550"/>
      <c r="AD76" s="572"/>
      <c r="AE76" s="572"/>
    </row>
    <row r="77" spans="22:33" x14ac:dyDescent="0.2">
      <c r="V77" s="550"/>
      <c r="W77" s="550"/>
      <c r="AC77" s="550"/>
      <c r="AD77" s="572"/>
      <c r="AE77" s="572"/>
    </row>
    <row r="78" spans="22:33" x14ac:dyDescent="0.2">
      <c r="AC78" s="550"/>
      <c r="AD78" s="572"/>
      <c r="AE78" s="572"/>
    </row>
    <row r="79" spans="22:33" x14ac:dyDescent="0.2">
      <c r="AC79" s="550"/>
      <c r="AD79" s="572"/>
      <c r="AE79" s="572"/>
    </row>
    <row r="80" spans="22:33" x14ac:dyDescent="0.2">
      <c r="AC80" s="550"/>
      <c r="AD80" s="572"/>
      <c r="AE80" s="572"/>
    </row>
    <row r="81" spans="29:31" x14ac:dyDescent="0.2">
      <c r="AC81" s="550"/>
      <c r="AD81" s="572"/>
      <c r="AE81" s="572"/>
    </row>
    <row r="82" spans="29:31" x14ac:dyDescent="0.2">
      <c r="AC82" s="550"/>
      <c r="AD82" s="572"/>
      <c r="AE82" s="572"/>
    </row>
    <row r="83" spans="29:31" x14ac:dyDescent="0.2">
      <c r="AC83" s="550"/>
      <c r="AD83" s="572"/>
      <c r="AE83" s="572"/>
    </row>
    <row r="84" spans="29:31" x14ac:dyDescent="0.2">
      <c r="AC84" s="550"/>
      <c r="AD84" s="572"/>
      <c r="AE84" s="572"/>
    </row>
    <row r="85" spans="29:31" x14ac:dyDescent="0.2">
      <c r="AC85" s="550"/>
      <c r="AD85" s="572"/>
      <c r="AE85" s="572"/>
    </row>
    <row r="86" spans="29:31" x14ac:dyDescent="0.2">
      <c r="AC86" s="550"/>
      <c r="AD86" s="572"/>
      <c r="AE86" s="572"/>
    </row>
    <row r="87" spans="29:31" x14ac:dyDescent="0.2">
      <c r="AC87" s="550"/>
      <c r="AD87" s="572"/>
      <c r="AE87" s="572"/>
    </row>
    <row r="88" spans="29:31" x14ac:dyDescent="0.2">
      <c r="AC88" s="550"/>
      <c r="AD88" s="572"/>
      <c r="AE88" s="572"/>
    </row>
    <row r="89" spans="29:31" x14ac:dyDescent="0.2">
      <c r="AC89" s="550"/>
      <c r="AD89" s="572"/>
      <c r="AE89" s="572"/>
    </row>
    <row r="90" spans="29:31" x14ac:dyDescent="0.2">
      <c r="AC90" s="550"/>
      <c r="AD90" s="572"/>
      <c r="AE90" s="572"/>
    </row>
  </sheetData>
  <sheetProtection selectLockedCells="1" selectUnlockedCells="1"/>
  <dataConsolidate/>
  <mergeCells count="3">
    <mergeCell ref="D1:E1"/>
    <mergeCell ref="K1:L1"/>
    <mergeCell ref="N1:O1"/>
  </mergeCells>
  <pageMargins left="0.17" right="0.17" top="0.28000000000000003" bottom="0.4" header="0.17" footer="0.19"/>
  <pageSetup scale="46" fitToWidth="2" orientation="landscape" horizontalDpi="1200" verticalDpi="1200"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A1:BZ101"/>
  <sheetViews>
    <sheetView topLeftCell="CA1" zoomScale="75" workbookViewId="0">
      <selection sqref="A1:BZ1048576"/>
    </sheetView>
  </sheetViews>
  <sheetFormatPr defaultRowHeight="12" x14ac:dyDescent="0.2"/>
  <cols>
    <col min="1" max="1" width="8.88671875" style="622" hidden="1" customWidth="1"/>
    <col min="2" max="2" width="2.88671875" style="622" hidden="1" customWidth="1"/>
    <col min="3" max="3" width="5.21875" style="620" hidden="1" customWidth="1"/>
    <col min="4" max="4" width="27.44140625" style="622" hidden="1" customWidth="1"/>
    <col min="5" max="5" width="10.6640625" style="622" hidden="1" customWidth="1"/>
    <col min="6" max="6" width="11.5546875" style="622" hidden="1" customWidth="1"/>
    <col min="7" max="7" width="4.33203125" style="620" hidden="1" customWidth="1"/>
    <col min="8" max="8" width="15.6640625" style="622" hidden="1" customWidth="1"/>
    <col min="9" max="9" width="11.5546875" style="622" hidden="1" customWidth="1"/>
    <col min="10" max="10" width="4.77734375" style="620" hidden="1" customWidth="1"/>
    <col min="11" max="11" width="6.21875" style="622" hidden="1" customWidth="1"/>
    <col min="12" max="12" width="7.109375" style="622" hidden="1" customWidth="1"/>
    <col min="13" max="13" width="4.77734375" style="620" hidden="1" customWidth="1"/>
    <col min="14" max="14" width="30.44140625" style="622" hidden="1" customWidth="1"/>
    <col min="15" max="15" width="12.21875" style="622" hidden="1" customWidth="1"/>
    <col min="16" max="16" width="12" style="622" hidden="1" customWidth="1"/>
    <col min="17" max="17" width="4.44140625" style="620" hidden="1" customWidth="1"/>
    <col min="18" max="18" width="10.109375" style="622" hidden="1" customWidth="1"/>
    <col min="19" max="19" width="7.21875" style="622" hidden="1" customWidth="1"/>
    <col min="20" max="20" width="13" style="622" hidden="1" customWidth="1"/>
    <col min="21" max="21" width="4" style="620" hidden="1" customWidth="1"/>
    <col min="22" max="22" width="19.21875" style="622" hidden="1" customWidth="1"/>
    <col min="23" max="23" width="10.33203125" style="622" hidden="1" customWidth="1"/>
    <col min="24" max="24" width="4.33203125" style="620" hidden="1" customWidth="1"/>
    <col min="25" max="25" width="20.6640625" style="622" hidden="1" customWidth="1"/>
    <col min="26" max="27" width="12.33203125" style="622" hidden="1" customWidth="1"/>
    <col min="28" max="28" width="10.88671875" style="539" hidden="1" customWidth="1"/>
    <col min="29" max="29" width="17.6640625" style="622" hidden="1" customWidth="1"/>
    <col min="30" max="31" width="15.109375" style="622" hidden="1" customWidth="1"/>
    <col min="32" max="32" width="8.88671875" style="622" hidden="1" customWidth="1"/>
    <col min="33" max="33" width="8.88671875" style="539" hidden="1" customWidth="1"/>
    <col min="34" max="78" width="8.88671875" style="622" hidden="1" customWidth="1"/>
    <col min="79" max="16384" width="8.88671875" style="622"/>
  </cols>
  <sheetData>
    <row r="1" spans="2:35" ht="12.75" thickBot="1" x14ac:dyDescent="0.25">
      <c r="B1" s="619" t="s">
        <v>69</v>
      </c>
      <c r="D1" s="1537" t="s">
        <v>72</v>
      </c>
      <c r="E1" s="1537"/>
      <c r="F1" s="621"/>
      <c r="K1" s="1537" t="s">
        <v>70</v>
      </c>
      <c r="L1" s="1537"/>
      <c r="N1" s="1537" t="s">
        <v>71</v>
      </c>
      <c r="O1" s="1537"/>
      <c r="Y1" s="623" t="s">
        <v>76</v>
      </c>
      <c r="Z1" s="623"/>
      <c r="AA1" s="623"/>
      <c r="AB1" s="540"/>
      <c r="AC1" s="623" t="s">
        <v>77</v>
      </c>
      <c r="AD1" s="623"/>
    </row>
    <row r="2" spans="2:35" ht="36" x14ac:dyDescent="0.2">
      <c r="C2" s="624"/>
      <c r="D2" s="625" t="s">
        <v>1</v>
      </c>
      <c r="E2" s="625" t="s">
        <v>67</v>
      </c>
      <c r="F2" s="626" t="s">
        <v>168</v>
      </c>
      <c r="G2" s="624"/>
      <c r="H2" s="625" t="s">
        <v>2</v>
      </c>
      <c r="I2" s="625" t="s">
        <v>73</v>
      </c>
      <c r="J2" s="624"/>
      <c r="K2" s="625" t="s">
        <v>40</v>
      </c>
      <c r="L2" s="625" t="s">
        <v>66</v>
      </c>
      <c r="M2" s="624"/>
      <c r="N2" s="625" t="s">
        <v>3</v>
      </c>
      <c r="O2" s="625" t="s">
        <v>479</v>
      </c>
      <c r="P2" s="625" t="s">
        <v>55</v>
      </c>
      <c r="Q2" s="624"/>
      <c r="R2" s="625" t="s">
        <v>14</v>
      </c>
      <c r="S2" s="625" t="s">
        <v>25</v>
      </c>
      <c r="T2" s="625" t="s">
        <v>15</v>
      </c>
      <c r="U2" s="624"/>
      <c r="V2" s="625" t="s">
        <v>16</v>
      </c>
      <c r="W2" s="625" t="s">
        <v>68</v>
      </c>
      <c r="X2" s="624"/>
      <c r="Y2" s="625" t="s">
        <v>26</v>
      </c>
      <c r="Z2" s="625" t="s">
        <v>271</v>
      </c>
      <c r="AA2" s="625" t="s">
        <v>292</v>
      </c>
      <c r="AB2" s="542" t="s">
        <v>480</v>
      </c>
      <c r="AC2" s="625" t="s">
        <v>39</v>
      </c>
      <c r="AD2" s="625" t="s">
        <v>481</v>
      </c>
      <c r="AE2" s="627" t="s">
        <v>83</v>
      </c>
      <c r="AF2" s="628" t="s">
        <v>73</v>
      </c>
      <c r="AG2" s="613" t="s">
        <v>478</v>
      </c>
      <c r="AH2" s="629" t="s">
        <v>237</v>
      </c>
      <c r="AI2" s="630" t="s">
        <v>73</v>
      </c>
    </row>
    <row r="3" spans="2:35" ht="12.75" thickBot="1" x14ac:dyDescent="0.25">
      <c r="C3" s="624"/>
      <c r="D3" s="626"/>
      <c r="E3" s="626"/>
      <c r="F3" s="626"/>
      <c r="G3" s="624"/>
      <c r="H3" s="631" t="s">
        <v>74</v>
      </c>
      <c r="I3" s="632">
        <v>195</v>
      </c>
      <c r="J3" s="624"/>
      <c r="K3" s="626"/>
      <c r="L3" s="626"/>
      <c r="M3" s="624"/>
      <c r="N3" s="626"/>
      <c r="O3" s="626"/>
      <c r="P3" s="626"/>
      <c r="Q3" s="624"/>
      <c r="R3" s="626"/>
      <c r="S3" s="626"/>
      <c r="T3" s="626"/>
      <c r="U3" s="624"/>
      <c r="V3" s="626"/>
      <c r="W3" s="626"/>
      <c r="X3" s="624"/>
      <c r="Y3" s="626"/>
      <c r="Z3" s="626"/>
      <c r="AA3" s="626"/>
      <c r="AB3" s="547"/>
      <c r="AC3" s="626"/>
      <c r="AD3" s="633"/>
      <c r="AE3" s="634"/>
      <c r="AF3" s="635"/>
      <c r="AG3" s="545"/>
      <c r="AH3" s="629"/>
      <c r="AI3" s="630"/>
    </row>
    <row r="4" spans="2:35" s="640" customFormat="1" ht="15" customHeight="1" x14ac:dyDescent="0.2">
      <c r="B4" s="636">
        <v>1</v>
      </c>
      <c r="C4" s="637"/>
      <c r="D4" s="638" t="s">
        <v>49</v>
      </c>
      <c r="E4" s="639">
        <v>0</v>
      </c>
      <c r="F4" s="639" t="s">
        <v>170</v>
      </c>
      <c r="H4" s="641" t="s">
        <v>84</v>
      </c>
      <c r="I4" s="642">
        <v>195</v>
      </c>
      <c r="J4" s="641"/>
      <c r="K4" s="643" t="s">
        <v>64</v>
      </c>
      <c r="L4" s="644"/>
      <c r="M4" s="641"/>
      <c r="N4" s="638" t="s">
        <v>5</v>
      </c>
      <c r="O4" s="645">
        <v>0</v>
      </c>
      <c r="P4" s="639">
        <v>2</v>
      </c>
      <c r="Q4" s="646"/>
      <c r="R4" s="639" t="s">
        <v>377</v>
      </c>
      <c r="S4" s="639" t="s">
        <v>378</v>
      </c>
      <c r="T4" s="638" t="s">
        <v>195</v>
      </c>
      <c r="U4" s="646"/>
      <c r="V4" s="638" t="s">
        <v>38</v>
      </c>
      <c r="W4" s="642">
        <v>0</v>
      </c>
      <c r="X4" s="646"/>
      <c r="Y4" s="639" t="s">
        <v>828</v>
      </c>
      <c r="AA4" s="645">
        <v>16</v>
      </c>
      <c r="AB4" s="647"/>
      <c r="AC4" s="280" t="s">
        <v>207</v>
      </c>
      <c r="AD4" s="648">
        <v>0</v>
      </c>
      <c r="AE4" s="649" t="s">
        <v>131</v>
      </c>
      <c r="AF4" s="650">
        <v>0</v>
      </c>
      <c r="AG4" s="651">
        <v>0</v>
      </c>
      <c r="AH4" s="585" t="s">
        <v>457</v>
      </c>
      <c r="AI4" s="212">
        <v>3.75</v>
      </c>
    </row>
    <row r="5" spans="2:35" s="640" customFormat="1" ht="15" customHeight="1" x14ac:dyDescent="0.2">
      <c r="B5" s="636">
        <f t="shared" ref="B5:B15" si="0">SUM(B4+1)</f>
        <v>2</v>
      </c>
      <c r="C5" s="637"/>
      <c r="D5" s="638" t="s">
        <v>832</v>
      </c>
      <c r="E5" s="639">
        <v>0</v>
      </c>
      <c r="F5" s="550" t="str">
        <f ca="1">IF(TODAY()&gt;40633,"All","Full")</f>
        <v>All</v>
      </c>
      <c r="H5" s="641" t="s">
        <v>86</v>
      </c>
      <c r="I5" s="642">
        <v>195</v>
      </c>
      <c r="J5" s="641"/>
      <c r="K5" s="643" t="s">
        <v>65</v>
      </c>
      <c r="L5" s="642" t="s">
        <v>115</v>
      </c>
      <c r="M5" s="641"/>
      <c r="N5" s="638" t="s">
        <v>6</v>
      </c>
      <c r="O5" s="645">
        <v>0</v>
      </c>
      <c r="P5" s="639">
        <v>1</v>
      </c>
      <c r="Q5" s="646"/>
      <c r="R5" s="639" t="s">
        <v>17</v>
      </c>
      <c r="S5" s="639">
        <v>1</v>
      </c>
      <c r="T5" s="638" t="s">
        <v>196</v>
      </c>
      <c r="U5" s="646"/>
      <c r="V5" s="638" t="s">
        <v>28</v>
      </c>
      <c r="W5" s="642">
        <v>0</v>
      </c>
      <c r="X5" s="646"/>
      <c r="Y5" s="639" t="s">
        <v>482</v>
      </c>
      <c r="AA5" s="645">
        <v>11.5</v>
      </c>
      <c r="AB5" s="647"/>
      <c r="AC5" s="280" t="s">
        <v>852</v>
      </c>
      <c r="AD5" s="648">
        <v>8</v>
      </c>
      <c r="AE5" s="649" t="s">
        <v>85</v>
      </c>
      <c r="AF5" s="652">
        <v>0</v>
      </c>
      <c r="AG5" s="653">
        <v>0</v>
      </c>
      <c r="AH5" s="585" t="s">
        <v>458</v>
      </c>
      <c r="AI5" s="212">
        <v>3.75</v>
      </c>
    </row>
    <row r="6" spans="2:35" s="640" customFormat="1" ht="15" customHeight="1" x14ac:dyDescent="0.2">
      <c r="B6" s="636">
        <f t="shared" si="0"/>
        <v>3</v>
      </c>
      <c r="C6" s="637"/>
      <c r="D6" s="638" t="s">
        <v>716</v>
      </c>
      <c r="E6" s="639">
        <v>0</v>
      </c>
      <c r="F6" s="550" t="str">
        <f ca="1">IF(TODAY()&gt;40633,"All","Full")</f>
        <v>All</v>
      </c>
      <c r="H6" s="641" t="s">
        <v>87</v>
      </c>
      <c r="I6" s="642">
        <v>195</v>
      </c>
      <c r="J6" s="641"/>
      <c r="K6" s="643"/>
      <c r="L6" s="644"/>
      <c r="M6" s="641"/>
      <c r="N6" s="638" t="s">
        <v>4</v>
      </c>
      <c r="O6" s="645">
        <v>0</v>
      </c>
      <c r="P6" s="639">
        <v>1</v>
      </c>
      <c r="Q6" s="646"/>
      <c r="R6" s="639" t="s">
        <v>18</v>
      </c>
      <c r="S6" s="639">
        <v>1</v>
      </c>
      <c r="T6" s="638" t="s">
        <v>199</v>
      </c>
      <c r="U6" s="646"/>
      <c r="V6" s="654" t="s">
        <v>88</v>
      </c>
      <c r="W6" s="642">
        <v>0</v>
      </c>
      <c r="X6" s="646"/>
      <c r="Y6" s="639" t="s">
        <v>273</v>
      </c>
      <c r="AA6" s="645">
        <v>16</v>
      </c>
      <c r="AB6" s="647"/>
      <c r="AC6" s="280" t="s">
        <v>853</v>
      </c>
      <c r="AD6" s="648">
        <v>12.5</v>
      </c>
      <c r="AG6" s="539"/>
      <c r="AH6" s="585" t="s">
        <v>459</v>
      </c>
      <c r="AI6" s="212">
        <v>3.75</v>
      </c>
    </row>
    <row r="7" spans="2:35" s="640" customFormat="1" ht="15" customHeight="1" x14ac:dyDescent="0.2">
      <c r="B7" s="636">
        <f t="shared" si="0"/>
        <v>4</v>
      </c>
      <c r="C7" s="637"/>
      <c r="D7" s="638" t="s">
        <v>50</v>
      </c>
      <c r="E7" s="639">
        <v>0</v>
      </c>
      <c r="F7" s="550" t="str">
        <f ca="1">IF(TODAY()&gt;40633,"All","Full")</f>
        <v>All</v>
      </c>
      <c r="H7" s="641" t="s">
        <v>89</v>
      </c>
      <c r="I7" s="642">
        <v>195</v>
      </c>
      <c r="J7" s="641"/>
      <c r="K7" s="643"/>
      <c r="L7" s="643"/>
      <c r="M7" s="641"/>
      <c r="N7" s="638" t="s">
        <v>175</v>
      </c>
      <c r="O7" s="276">
        <v>51.5</v>
      </c>
      <c r="P7" s="639">
        <v>1</v>
      </c>
      <c r="Q7" s="646"/>
      <c r="R7" s="639" t="s">
        <v>19</v>
      </c>
      <c r="S7" s="639">
        <v>2</v>
      </c>
      <c r="T7" s="638" t="s">
        <v>197</v>
      </c>
      <c r="U7" s="646"/>
      <c r="V7" s="638" t="s">
        <v>37</v>
      </c>
      <c r="W7" s="642">
        <v>0</v>
      </c>
      <c r="X7" s="646"/>
      <c r="Y7" s="639" t="s">
        <v>212</v>
      </c>
      <c r="AA7" s="645">
        <v>15</v>
      </c>
      <c r="AB7" s="647"/>
      <c r="AC7" s="280" t="s">
        <v>373</v>
      </c>
      <c r="AD7" s="648">
        <v>12.5</v>
      </c>
      <c r="AG7" s="539"/>
      <c r="AH7" s="585" t="s">
        <v>460</v>
      </c>
      <c r="AI7" s="212">
        <v>3.75</v>
      </c>
    </row>
    <row r="8" spans="2:35" s="640" customFormat="1" ht="15" customHeight="1" x14ac:dyDescent="0.2">
      <c r="B8" s="636">
        <f t="shared" si="0"/>
        <v>5</v>
      </c>
      <c r="C8" s="637"/>
      <c r="D8" s="638" t="s">
        <v>75</v>
      </c>
      <c r="E8" s="639">
        <v>0</v>
      </c>
      <c r="F8" s="550" t="s">
        <v>171</v>
      </c>
      <c r="H8" s="641" t="s">
        <v>90</v>
      </c>
      <c r="I8" s="642">
        <v>195</v>
      </c>
      <c r="J8" s="641"/>
      <c r="K8" s="643"/>
      <c r="L8" s="643"/>
      <c r="M8" s="641"/>
      <c r="N8" s="638" t="s">
        <v>176</v>
      </c>
      <c r="O8" s="276">
        <v>51.5</v>
      </c>
      <c r="P8" s="639">
        <v>1</v>
      </c>
      <c r="Q8" s="646"/>
      <c r="R8" s="639" t="s">
        <v>20</v>
      </c>
      <c r="S8" s="639">
        <v>2</v>
      </c>
      <c r="T8" s="638" t="s">
        <v>198</v>
      </c>
      <c r="U8" s="646"/>
      <c r="V8" s="638" t="s">
        <v>57</v>
      </c>
      <c r="W8" s="642">
        <v>0</v>
      </c>
      <c r="X8" s="646"/>
      <c r="Y8" s="639" t="s">
        <v>829</v>
      </c>
      <c r="AA8" s="645">
        <v>22</v>
      </c>
      <c r="AB8" s="647"/>
      <c r="AC8" s="280" t="s">
        <v>372</v>
      </c>
      <c r="AD8" s="648">
        <v>18.5</v>
      </c>
      <c r="AG8" s="539"/>
      <c r="AH8" s="585" t="s">
        <v>461</v>
      </c>
      <c r="AI8" s="212">
        <v>3.75</v>
      </c>
    </row>
    <row r="9" spans="2:35" s="640" customFormat="1" ht="15" customHeight="1" x14ac:dyDescent="0.2">
      <c r="B9" s="636">
        <f t="shared" si="0"/>
        <v>6</v>
      </c>
      <c r="C9" s="637"/>
      <c r="D9" s="638" t="s">
        <v>312</v>
      </c>
      <c r="E9" s="639">
        <v>19</v>
      </c>
      <c r="F9" s="639" t="s">
        <v>169</v>
      </c>
      <c r="H9" s="641" t="s">
        <v>91</v>
      </c>
      <c r="I9" s="642">
        <v>195</v>
      </c>
      <c r="J9" s="641"/>
      <c r="K9" s="643"/>
      <c r="L9" s="643"/>
      <c r="M9" s="641"/>
      <c r="N9" s="638" t="s">
        <v>177</v>
      </c>
      <c r="O9" s="276">
        <v>51.5</v>
      </c>
      <c r="P9" s="639">
        <v>1</v>
      </c>
      <c r="Q9" s="646"/>
      <c r="R9" s="639" t="s">
        <v>21</v>
      </c>
      <c r="S9" s="639">
        <v>2</v>
      </c>
      <c r="T9" s="638" t="s">
        <v>200</v>
      </c>
      <c r="U9" s="646"/>
      <c r="V9" s="638" t="s">
        <v>47</v>
      </c>
      <c r="W9" s="642">
        <v>0</v>
      </c>
      <c r="X9" s="646"/>
      <c r="Y9" s="639" t="s">
        <v>230</v>
      </c>
      <c r="AA9" s="645">
        <v>6</v>
      </c>
      <c r="AB9" s="647"/>
      <c r="AC9" s="280" t="s">
        <v>201</v>
      </c>
      <c r="AD9" s="648">
        <v>22</v>
      </c>
      <c r="AG9" s="539"/>
      <c r="AH9" s="585" t="s">
        <v>469</v>
      </c>
      <c r="AI9" s="212">
        <v>3.75</v>
      </c>
    </row>
    <row r="10" spans="2:35" s="640" customFormat="1" ht="15" customHeight="1" x14ac:dyDescent="0.2">
      <c r="B10" s="636">
        <f t="shared" si="0"/>
        <v>7</v>
      </c>
      <c r="C10" s="637"/>
      <c r="D10" s="638" t="s">
        <v>313</v>
      </c>
      <c r="E10" s="639">
        <v>19</v>
      </c>
      <c r="F10" s="639" t="s">
        <v>169</v>
      </c>
      <c r="H10" s="641" t="s">
        <v>92</v>
      </c>
      <c r="I10" s="642">
        <v>195</v>
      </c>
      <c r="J10" s="641"/>
      <c r="K10" s="643"/>
      <c r="L10" s="643"/>
      <c r="M10" s="641"/>
      <c r="N10" s="638" t="s">
        <v>183</v>
      </c>
      <c r="O10" s="276">
        <v>65</v>
      </c>
      <c r="P10" s="639">
        <v>1</v>
      </c>
      <c r="Q10" s="646"/>
      <c r="R10" s="639" t="s">
        <v>22</v>
      </c>
      <c r="S10" s="639">
        <v>3</v>
      </c>
      <c r="T10" s="638" t="s">
        <v>492</v>
      </c>
      <c r="U10" s="646"/>
      <c r="V10" s="638" t="s">
        <v>334</v>
      </c>
      <c r="W10" s="645">
        <v>0</v>
      </c>
      <c r="X10" s="646"/>
      <c r="Y10" s="639" t="s">
        <v>370</v>
      </c>
      <c r="AA10" s="645">
        <v>10</v>
      </c>
      <c r="AB10" s="647"/>
      <c r="AC10" s="280" t="s">
        <v>231</v>
      </c>
      <c r="AD10" s="648">
        <v>30</v>
      </c>
      <c r="AG10" s="539"/>
      <c r="AH10" s="585" t="s">
        <v>470</v>
      </c>
      <c r="AI10" s="212">
        <v>3.75</v>
      </c>
    </row>
    <row r="11" spans="2:35" s="640" customFormat="1" ht="15" customHeight="1" x14ac:dyDescent="0.2">
      <c r="B11" s="636">
        <f t="shared" si="0"/>
        <v>8</v>
      </c>
      <c r="C11" s="637"/>
      <c r="D11" s="638" t="s">
        <v>833</v>
      </c>
      <c r="E11" s="639">
        <v>19</v>
      </c>
      <c r="F11" s="639" t="s">
        <v>169</v>
      </c>
      <c r="H11" s="641" t="s">
        <v>93</v>
      </c>
      <c r="I11" s="642">
        <v>195</v>
      </c>
      <c r="J11" s="641"/>
      <c r="K11" s="643"/>
      <c r="L11" s="643"/>
      <c r="M11" s="641"/>
      <c r="N11" s="638" t="s">
        <v>182</v>
      </c>
      <c r="O11" s="276">
        <v>65</v>
      </c>
      <c r="P11" s="639">
        <v>1</v>
      </c>
      <c r="Q11" s="646"/>
      <c r="R11" s="639" t="s">
        <v>23</v>
      </c>
      <c r="S11" s="639">
        <v>3</v>
      </c>
      <c r="T11" s="638" t="s">
        <v>493</v>
      </c>
      <c r="U11" s="646"/>
      <c r="V11" s="638" t="s">
        <v>333</v>
      </c>
      <c r="W11" s="276">
        <v>5.5</v>
      </c>
      <c r="X11" s="646"/>
      <c r="Y11" s="639" t="s">
        <v>371</v>
      </c>
      <c r="AA11" s="645">
        <v>12.5</v>
      </c>
      <c r="AB11" s="647"/>
      <c r="AC11" s="280" t="s">
        <v>232</v>
      </c>
      <c r="AD11" s="648">
        <v>18.5</v>
      </c>
      <c r="AG11" s="539"/>
      <c r="AH11" s="585" t="s">
        <v>462</v>
      </c>
      <c r="AI11" s="212">
        <v>3.75</v>
      </c>
    </row>
    <row r="12" spans="2:35" s="640" customFormat="1" ht="15" customHeight="1" x14ac:dyDescent="0.2">
      <c r="B12" s="636">
        <f t="shared" si="0"/>
        <v>9</v>
      </c>
      <c r="C12" s="637"/>
      <c r="D12" s="638" t="s">
        <v>834</v>
      </c>
      <c r="E12" s="639">
        <v>19</v>
      </c>
      <c r="F12" s="639" t="s">
        <v>169</v>
      </c>
      <c r="H12" s="641" t="s">
        <v>94</v>
      </c>
      <c r="I12" s="642">
        <v>195</v>
      </c>
      <c r="J12" s="641"/>
      <c r="K12" s="643"/>
      <c r="L12" s="643"/>
      <c r="M12" s="641"/>
      <c r="N12" s="638" t="s">
        <v>184</v>
      </c>
      <c r="O12" s="276">
        <v>65</v>
      </c>
      <c r="P12" s="639">
        <v>1</v>
      </c>
      <c r="Q12" s="646"/>
      <c r="R12" s="639" t="s">
        <v>24</v>
      </c>
      <c r="S12" s="639">
        <v>4</v>
      </c>
      <c r="T12" s="654" t="s">
        <v>494</v>
      </c>
      <c r="U12" s="646"/>
      <c r="V12" s="551" t="s">
        <v>58</v>
      </c>
      <c r="W12" s="553">
        <v>11</v>
      </c>
      <c r="X12" s="646"/>
      <c r="Y12" s="639" t="s">
        <v>216</v>
      </c>
      <c r="AA12" s="645">
        <v>15</v>
      </c>
      <c r="AB12" s="647"/>
      <c r="AC12" s="280" t="s">
        <v>233</v>
      </c>
      <c r="AD12" s="648">
        <v>24</v>
      </c>
      <c r="AG12" s="539"/>
      <c r="AH12" s="585" t="s">
        <v>463</v>
      </c>
      <c r="AI12" s="212">
        <v>3.75</v>
      </c>
    </row>
    <row r="13" spans="2:35" s="640" customFormat="1" ht="15" customHeight="1" x14ac:dyDescent="0.2">
      <c r="B13" s="636">
        <f t="shared" si="0"/>
        <v>10</v>
      </c>
      <c r="C13" s="637"/>
      <c r="D13" s="638" t="s">
        <v>718</v>
      </c>
      <c r="E13" s="639">
        <v>19</v>
      </c>
      <c r="F13" s="639" t="s">
        <v>169</v>
      </c>
      <c r="H13" s="641" t="s">
        <v>95</v>
      </c>
      <c r="I13" s="642">
        <v>195</v>
      </c>
      <c r="J13" s="641"/>
      <c r="K13" s="643"/>
      <c r="L13" s="643"/>
      <c r="M13" s="641"/>
      <c r="N13" s="638" t="s">
        <v>185</v>
      </c>
      <c r="O13" s="276">
        <v>82.5</v>
      </c>
      <c r="P13" s="639">
        <v>1</v>
      </c>
      <c r="Q13" s="646"/>
      <c r="R13" s="638" t="s">
        <v>288</v>
      </c>
      <c r="S13" s="638">
        <v>3</v>
      </c>
      <c r="T13" s="639"/>
      <c r="U13" s="646"/>
      <c r="V13" s="639"/>
      <c r="W13" s="639"/>
      <c r="X13" s="646"/>
      <c r="Y13" s="639" t="s">
        <v>830</v>
      </c>
      <c r="AA13" s="645">
        <v>22</v>
      </c>
      <c r="AB13" s="647"/>
      <c r="AC13" s="280" t="s">
        <v>330</v>
      </c>
      <c r="AD13" s="648">
        <v>24</v>
      </c>
      <c r="AG13" s="539"/>
      <c r="AH13" s="585" t="s">
        <v>241</v>
      </c>
      <c r="AI13" s="212">
        <v>3.75</v>
      </c>
    </row>
    <row r="14" spans="2:35" s="640" customFormat="1" ht="15" customHeight="1" thickBot="1" x14ac:dyDescent="0.25">
      <c r="B14" s="636">
        <f t="shared" si="0"/>
        <v>11</v>
      </c>
      <c r="C14" s="637"/>
      <c r="D14" s="638" t="s">
        <v>719</v>
      </c>
      <c r="E14" s="639">
        <v>19</v>
      </c>
      <c r="F14" s="639" t="s">
        <v>169</v>
      </c>
      <c r="H14" s="641" t="s">
        <v>96</v>
      </c>
      <c r="I14" s="642">
        <v>195</v>
      </c>
      <c r="J14" s="641"/>
      <c r="K14" s="643"/>
      <c r="L14" s="643"/>
      <c r="M14" s="641"/>
      <c r="N14" s="638" t="s">
        <v>186</v>
      </c>
      <c r="O14" s="276">
        <v>82.5</v>
      </c>
      <c r="P14" s="639">
        <v>1</v>
      </c>
      <c r="Q14" s="646"/>
      <c r="R14" s="638" t="s">
        <v>289</v>
      </c>
      <c r="S14" s="638">
        <v>3</v>
      </c>
      <c r="T14" s="639"/>
      <c r="U14" s="646"/>
      <c r="V14" s="639"/>
      <c r="W14" s="639"/>
      <c r="X14" s="646"/>
      <c r="Y14" s="639" t="s">
        <v>221</v>
      </c>
      <c r="AA14" s="645">
        <v>11.5</v>
      </c>
      <c r="AB14" s="647"/>
      <c r="AC14" s="280" t="s">
        <v>234</v>
      </c>
      <c r="AD14" s="648">
        <v>15</v>
      </c>
      <c r="AG14" s="539"/>
      <c r="AH14" s="585" t="s">
        <v>240</v>
      </c>
      <c r="AI14" s="212">
        <v>7</v>
      </c>
    </row>
    <row r="15" spans="2:35" s="640" customFormat="1" ht="15" customHeight="1" x14ac:dyDescent="0.2">
      <c r="B15" s="636">
        <f t="shared" si="0"/>
        <v>12</v>
      </c>
      <c r="C15" s="637"/>
      <c r="D15" s="638" t="s">
        <v>322</v>
      </c>
      <c r="E15" s="639">
        <v>19</v>
      </c>
      <c r="F15" s="639" t="s">
        <v>169</v>
      </c>
      <c r="H15" s="641" t="s">
        <v>97</v>
      </c>
      <c r="I15" s="642">
        <v>195</v>
      </c>
      <c r="J15" s="641"/>
      <c r="K15" s="643"/>
      <c r="L15" s="643"/>
      <c r="M15" s="641"/>
      <c r="N15" s="638" t="s">
        <v>187</v>
      </c>
      <c r="O15" s="276">
        <v>82.5</v>
      </c>
      <c r="P15" s="639">
        <v>1</v>
      </c>
      <c r="Q15" s="646"/>
      <c r="R15" s="639" t="s">
        <v>32</v>
      </c>
      <c r="S15" s="639">
        <v>4</v>
      </c>
      <c r="T15" s="625" t="s">
        <v>604</v>
      </c>
      <c r="U15" s="646"/>
      <c r="V15" s="639"/>
      <c r="W15" s="639"/>
      <c r="X15" s="646"/>
      <c r="Y15" s="639" t="s">
        <v>222</v>
      </c>
      <c r="AA15" s="645">
        <v>15</v>
      </c>
      <c r="AB15" s="647"/>
      <c r="AC15" s="280" t="s">
        <v>436</v>
      </c>
      <c r="AD15" s="648">
        <v>15</v>
      </c>
      <c r="AG15" s="539"/>
      <c r="AH15" s="585" t="s">
        <v>464</v>
      </c>
      <c r="AI15" s="212">
        <v>7</v>
      </c>
    </row>
    <row r="16" spans="2:35" s="640" customFormat="1" ht="15" customHeight="1" x14ac:dyDescent="0.2">
      <c r="B16" s="636"/>
      <c r="C16" s="637"/>
      <c r="D16" s="638" t="s">
        <v>323</v>
      </c>
      <c r="E16" s="639">
        <v>19</v>
      </c>
      <c r="F16" s="639" t="s">
        <v>169</v>
      </c>
      <c r="H16" s="641" t="s">
        <v>98</v>
      </c>
      <c r="I16" s="642">
        <v>195</v>
      </c>
      <c r="J16" s="641"/>
      <c r="K16" s="643"/>
      <c r="L16" s="643"/>
      <c r="M16" s="641"/>
      <c r="N16" s="638" t="s">
        <v>342</v>
      </c>
      <c r="O16" s="276">
        <v>51.5</v>
      </c>
      <c r="P16" s="638">
        <v>1</v>
      </c>
      <c r="Q16" s="646"/>
      <c r="R16" s="639" t="s">
        <v>33</v>
      </c>
      <c r="S16" s="639">
        <v>4</v>
      </c>
      <c r="T16" s="638" t="s">
        <v>195</v>
      </c>
      <c r="U16" s="646"/>
      <c r="V16" s="639"/>
      <c r="W16" s="639"/>
      <c r="X16" s="655"/>
      <c r="Y16" s="639" t="s">
        <v>223</v>
      </c>
      <c r="AA16" s="645">
        <v>11.5</v>
      </c>
      <c r="AB16" s="647"/>
      <c r="AC16" s="280" t="s">
        <v>498</v>
      </c>
      <c r="AD16" s="648">
        <v>21.5</v>
      </c>
      <c r="AG16" s="539"/>
      <c r="AH16" s="585" t="s">
        <v>465</v>
      </c>
      <c r="AI16" s="212">
        <v>7</v>
      </c>
    </row>
    <row r="17" spans="3:35" s="640" customFormat="1" ht="15" customHeight="1" x14ac:dyDescent="0.2">
      <c r="C17" s="637"/>
      <c r="D17" s="638" t="s">
        <v>314</v>
      </c>
      <c r="E17" s="639">
        <v>19</v>
      </c>
      <c r="F17" s="639" t="s">
        <v>169</v>
      </c>
      <c r="H17" s="641" t="s">
        <v>99</v>
      </c>
      <c r="I17" s="642">
        <v>195</v>
      </c>
      <c r="J17" s="641"/>
      <c r="K17" s="643"/>
      <c r="L17" s="643"/>
      <c r="M17" s="641"/>
      <c r="N17" s="638" t="s">
        <v>343</v>
      </c>
      <c r="O17" s="276">
        <v>51.5</v>
      </c>
      <c r="P17" s="638">
        <v>1</v>
      </c>
      <c r="Q17" s="646"/>
      <c r="R17" s="639" t="s">
        <v>34</v>
      </c>
      <c r="S17" s="639">
        <v>5</v>
      </c>
      <c r="T17" s="638" t="s">
        <v>196</v>
      </c>
      <c r="U17" s="646"/>
      <c r="V17" s="639"/>
      <c r="W17" s="639"/>
      <c r="X17" s="655"/>
      <c r="Y17" s="639" t="s">
        <v>224</v>
      </c>
      <c r="AA17" s="645">
        <v>15</v>
      </c>
      <c r="AB17" s="647"/>
      <c r="AC17" s="280" t="s">
        <v>847</v>
      </c>
      <c r="AD17" s="648">
        <v>21.5</v>
      </c>
      <c r="AG17" s="539"/>
      <c r="AH17" s="212" t="s">
        <v>239</v>
      </c>
      <c r="AI17" s="212">
        <v>7475</v>
      </c>
    </row>
    <row r="18" spans="3:35" s="640" customFormat="1" ht="15" customHeight="1" x14ac:dyDescent="0.2">
      <c r="C18" s="637"/>
      <c r="D18" s="638" t="s">
        <v>315</v>
      </c>
      <c r="E18" s="639">
        <v>19</v>
      </c>
      <c r="F18" s="639" t="s">
        <v>169</v>
      </c>
      <c r="H18" s="641" t="s">
        <v>385</v>
      </c>
      <c r="I18" s="642">
        <v>195</v>
      </c>
      <c r="J18" s="641"/>
      <c r="K18" s="643"/>
      <c r="L18" s="643"/>
      <c r="M18" s="641"/>
      <c r="N18" s="638" t="s">
        <v>344</v>
      </c>
      <c r="O18" s="276">
        <v>51.5</v>
      </c>
      <c r="P18" s="638">
        <v>1</v>
      </c>
      <c r="Q18" s="646"/>
      <c r="R18" s="639" t="s">
        <v>35</v>
      </c>
      <c r="S18" s="639">
        <v>5</v>
      </c>
      <c r="T18" s="638" t="s">
        <v>197</v>
      </c>
      <c r="U18" s="646"/>
      <c r="V18" s="639"/>
      <c r="W18" s="639"/>
      <c r="X18" s="655"/>
      <c r="Y18" s="639" t="s">
        <v>220</v>
      </c>
      <c r="AA18" s="645">
        <v>18.5</v>
      </c>
      <c r="AB18" s="647"/>
      <c r="AC18" s="656"/>
      <c r="AD18" s="648"/>
      <c r="AG18" s="539"/>
      <c r="AH18" s="212" t="s">
        <v>467</v>
      </c>
      <c r="AI18" s="212">
        <v>4</v>
      </c>
    </row>
    <row r="19" spans="3:35" s="640" customFormat="1" ht="15" customHeight="1" x14ac:dyDescent="0.2">
      <c r="C19" s="637"/>
      <c r="D19" s="638" t="s">
        <v>316</v>
      </c>
      <c r="E19" s="639">
        <v>19</v>
      </c>
      <c r="F19" s="639" t="s">
        <v>169</v>
      </c>
      <c r="H19" s="641" t="s">
        <v>441</v>
      </c>
      <c r="I19" s="642">
        <v>195</v>
      </c>
      <c r="J19" s="641"/>
      <c r="K19" s="643"/>
      <c r="L19" s="643"/>
      <c r="M19" s="641"/>
      <c r="N19" s="638" t="s">
        <v>616</v>
      </c>
      <c r="O19" s="276" t="s">
        <v>115</v>
      </c>
      <c r="P19" s="638"/>
      <c r="Q19" s="646"/>
      <c r="R19" s="639" t="s">
        <v>36</v>
      </c>
      <c r="S19" s="639">
        <v>6</v>
      </c>
      <c r="T19" s="638" t="s">
        <v>198</v>
      </c>
      <c r="U19" s="646"/>
      <c r="V19" s="639"/>
      <c r="W19" s="639"/>
      <c r="X19" s="655"/>
      <c r="Y19" s="639" t="s">
        <v>225</v>
      </c>
      <c r="AA19" s="645">
        <v>11.5</v>
      </c>
      <c r="AB19" s="647"/>
      <c r="AG19" s="539"/>
      <c r="AH19" s="212" t="s">
        <v>483</v>
      </c>
      <c r="AI19" s="212">
        <v>7</v>
      </c>
    </row>
    <row r="20" spans="3:35" s="640" customFormat="1" ht="15" customHeight="1" x14ac:dyDescent="0.2">
      <c r="C20" s="637"/>
      <c r="D20" s="638" t="s">
        <v>317</v>
      </c>
      <c r="E20" s="639">
        <v>19</v>
      </c>
      <c r="F20" s="639" t="s">
        <v>169</v>
      </c>
      <c r="H20" s="657" t="s">
        <v>442</v>
      </c>
      <c r="I20" s="642">
        <v>195</v>
      </c>
      <c r="J20" s="641"/>
      <c r="K20" s="643"/>
      <c r="L20" s="643"/>
      <c r="M20" s="641"/>
      <c r="N20" s="638" t="s">
        <v>617</v>
      </c>
      <c r="O20" s="276" t="s">
        <v>115</v>
      </c>
      <c r="P20" s="638"/>
      <c r="Q20" s="646"/>
      <c r="R20" s="639"/>
      <c r="S20" s="639"/>
      <c r="T20" s="638" t="s">
        <v>492</v>
      </c>
      <c r="U20" s="646"/>
      <c r="V20" s="639"/>
      <c r="W20" s="639"/>
      <c r="X20" s="655"/>
      <c r="Y20" s="639" t="s">
        <v>226</v>
      </c>
      <c r="AA20" s="645">
        <v>15</v>
      </c>
      <c r="AB20" s="647"/>
      <c r="AG20" s="539"/>
      <c r="AH20" s="212" t="s">
        <v>437</v>
      </c>
      <c r="AI20" s="640">
        <v>3.75</v>
      </c>
    </row>
    <row r="21" spans="3:35" s="640" customFormat="1" ht="15" customHeight="1" x14ac:dyDescent="0.2">
      <c r="C21" s="637"/>
      <c r="D21" s="638" t="s">
        <v>835</v>
      </c>
      <c r="E21" s="639">
        <v>19</v>
      </c>
      <c r="F21" s="639" t="s">
        <v>169</v>
      </c>
      <c r="H21" s="657" t="s">
        <v>443</v>
      </c>
      <c r="I21" s="642">
        <v>195</v>
      </c>
      <c r="J21" s="641"/>
      <c r="K21" s="643"/>
      <c r="L21" s="643"/>
      <c r="M21" s="641"/>
      <c r="N21" s="638" t="s">
        <v>644</v>
      </c>
      <c r="O21" s="276" t="s">
        <v>115</v>
      </c>
      <c r="P21" s="638"/>
      <c r="Q21" s="646"/>
      <c r="R21" s="639"/>
      <c r="S21" s="639"/>
      <c r="T21" s="638" t="s">
        <v>493</v>
      </c>
      <c r="U21" s="646"/>
      <c r="V21" s="639"/>
      <c r="W21" s="639"/>
      <c r="X21" s="655"/>
      <c r="Y21" s="639" t="s">
        <v>227</v>
      </c>
      <c r="AA21" s="645">
        <v>18.5</v>
      </c>
      <c r="AB21" s="647"/>
      <c r="AG21" s="539"/>
      <c r="AH21" s="212" t="s">
        <v>244</v>
      </c>
      <c r="AI21" s="640">
        <v>7475</v>
      </c>
    </row>
    <row r="22" spans="3:35" s="640" customFormat="1" ht="15" customHeight="1" thickBot="1" x14ac:dyDescent="0.25">
      <c r="C22" s="637"/>
      <c r="D22" s="638" t="s">
        <v>836</v>
      </c>
      <c r="E22" s="639">
        <v>19</v>
      </c>
      <c r="F22" s="639" t="s">
        <v>169</v>
      </c>
      <c r="H22" s="657" t="s">
        <v>444</v>
      </c>
      <c r="I22" s="642">
        <v>195</v>
      </c>
      <c r="J22" s="641"/>
      <c r="K22" s="639"/>
      <c r="L22" s="639"/>
      <c r="M22" s="646"/>
      <c r="N22" s="638" t="s">
        <v>618</v>
      </c>
      <c r="O22" s="276" t="s">
        <v>115</v>
      </c>
      <c r="P22" s="638"/>
      <c r="Q22" s="646"/>
      <c r="R22" s="639"/>
      <c r="S22" s="639"/>
      <c r="T22" s="639"/>
      <c r="U22" s="646"/>
      <c r="V22" s="639"/>
      <c r="W22" s="639"/>
      <c r="X22" s="655"/>
      <c r="Y22" s="560" t="s">
        <v>228</v>
      </c>
      <c r="AA22" s="645">
        <v>11.5</v>
      </c>
      <c r="AB22" s="647"/>
      <c r="AG22" s="539"/>
    </row>
    <row r="23" spans="3:35" s="640" customFormat="1" ht="15" customHeight="1" thickBot="1" x14ac:dyDescent="0.25">
      <c r="C23" s="637"/>
      <c r="D23" s="638" t="s">
        <v>720</v>
      </c>
      <c r="E23" s="639">
        <v>19</v>
      </c>
      <c r="F23" s="639" t="s">
        <v>169</v>
      </c>
      <c r="H23" s="657" t="s">
        <v>445</v>
      </c>
      <c r="I23" s="642">
        <v>195</v>
      </c>
      <c r="J23" s="641"/>
      <c r="K23" s="639"/>
      <c r="L23" s="639"/>
      <c r="M23" s="646"/>
      <c r="N23" s="638" t="s">
        <v>619</v>
      </c>
      <c r="O23" s="276" t="s">
        <v>115</v>
      </c>
      <c r="P23" s="638"/>
      <c r="Q23" s="646"/>
      <c r="R23" s="625" t="s">
        <v>345</v>
      </c>
      <c r="S23" s="625"/>
      <c r="T23" s="639"/>
      <c r="U23" s="646"/>
      <c r="V23" s="639"/>
      <c r="W23" s="639"/>
      <c r="X23" s="655"/>
      <c r="Y23" s="639" t="s">
        <v>229</v>
      </c>
      <c r="AA23" s="645">
        <v>15</v>
      </c>
      <c r="AB23" s="647"/>
      <c r="AC23" s="280"/>
      <c r="AG23" s="539"/>
    </row>
    <row r="24" spans="3:35" s="640" customFormat="1" ht="15" customHeight="1" x14ac:dyDescent="0.2">
      <c r="C24" s="637"/>
      <c r="D24" s="638" t="s">
        <v>721</v>
      </c>
      <c r="E24" s="639">
        <v>19</v>
      </c>
      <c r="F24" s="639" t="s">
        <v>169</v>
      </c>
      <c r="H24" s="657" t="s">
        <v>446</v>
      </c>
      <c r="I24" s="642">
        <v>195</v>
      </c>
      <c r="J24" s="641"/>
      <c r="K24" s="639"/>
      <c r="L24" s="639"/>
      <c r="M24" s="646"/>
      <c r="N24" s="638" t="s">
        <v>620</v>
      </c>
      <c r="O24" s="276" t="s">
        <v>115</v>
      </c>
      <c r="P24" s="638"/>
      <c r="Q24" s="646"/>
      <c r="R24" s="638" t="s">
        <v>425</v>
      </c>
      <c r="S24" s="638">
        <v>2</v>
      </c>
      <c r="T24" s="625" t="s">
        <v>308</v>
      </c>
      <c r="U24" s="646"/>
      <c r="V24" s="639"/>
      <c r="W24" s="639"/>
      <c r="X24" s="646"/>
      <c r="Y24" s="639" t="s">
        <v>211</v>
      </c>
      <c r="AA24" s="645">
        <v>18.5</v>
      </c>
      <c r="AB24" s="647"/>
      <c r="AC24" s="280"/>
      <c r="AG24" s="539"/>
    </row>
    <row r="25" spans="3:35" s="640" customFormat="1" ht="15" customHeight="1" x14ac:dyDescent="0.2">
      <c r="C25" s="637"/>
      <c r="D25" s="638" t="s">
        <v>318</v>
      </c>
      <c r="E25" s="639">
        <v>19</v>
      </c>
      <c r="F25" s="639" t="s">
        <v>169</v>
      </c>
      <c r="H25" s="657" t="s">
        <v>447</v>
      </c>
      <c r="I25" s="642">
        <v>195</v>
      </c>
      <c r="J25" s="641"/>
      <c r="K25" s="639"/>
      <c r="L25" s="639"/>
      <c r="M25" s="646"/>
      <c r="N25" s="638" t="s">
        <v>621</v>
      </c>
      <c r="O25" s="276" t="s">
        <v>115</v>
      </c>
      <c r="P25" s="638"/>
      <c r="Q25" s="646"/>
      <c r="R25" s="638" t="s">
        <v>346</v>
      </c>
      <c r="S25" s="638">
        <v>4</v>
      </c>
      <c r="T25" s="638" t="s">
        <v>492</v>
      </c>
      <c r="U25" s="646"/>
      <c r="V25" s="639"/>
      <c r="W25" s="639"/>
      <c r="X25" s="646"/>
      <c r="Y25" s="659" t="s">
        <v>831</v>
      </c>
      <c r="AA25" s="660">
        <v>15</v>
      </c>
      <c r="AB25" s="647"/>
      <c r="AC25" s="280"/>
      <c r="AG25" s="539"/>
    </row>
    <row r="26" spans="3:35" s="640" customFormat="1" ht="15" customHeight="1" x14ac:dyDescent="0.2">
      <c r="C26" s="637"/>
      <c r="D26" s="638" t="s">
        <v>319</v>
      </c>
      <c r="E26" s="639">
        <v>19</v>
      </c>
      <c r="F26" s="639" t="s">
        <v>169</v>
      </c>
      <c r="H26" s="657" t="s">
        <v>448</v>
      </c>
      <c r="I26" s="642">
        <v>195</v>
      </c>
      <c r="J26" s="641"/>
      <c r="K26" s="639"/>
      <c r="L26" s="639"/>
      <c r="M26" s="646"/>
      <c r="N26" s="638" t="s">
        <v>622</v>
      </c>
      <c r="O26" s="276" t="s">
        <v>115</v>
      </c>
      <c r="P26" s="638"/>
      <c r="Q26" s="646"/>
      <c r="R26" s="638" t="s">
        <v>347</v>
      </c>
      <c r="S26" s="638">
        <v>6</v>
      </c>
      <c r="T26" s="638" t="s">
        <v>493</v>
      </c>
      <c r="U26" s="646"/>
      <c r="V26" s="639"/>
      <c r="W26" s="639"/>
      <c r="X26" s="646"/>
      <c r="Y26" s="661" t="s">
        <v>354</v>
      </c>
      <c r="Z26" s="662"/>
      <c r="AA26" s="492">
        <v>18.5</v>
      </c>
      <c r="AB26" s="602">
        <v>70</v>
      </c>
      <c r="AC26" s="280"/>
      <c r="AG26" s="539"/>
    </row>
    <row r="27" spans="3:35" s="640" customFormat="1" ht="15" customHeight="1" thickBot="1" x14ac:dyDescent="0.25">
      <c r="C27" s="637"/>
      <c r="D27" s="638" t="s">
        <v>320</v>
      </c>
      <c r="E27" s="639">
        <v>19</v>
      </c>
      <c r="F27" s="639" t="s">
        <v>169</v>
      </c>
      <c r="H27" s="657" t="s">
        <v>449</v>
      </c>
      <c r="I27" s="642">
        <v>195</v>
      </c>
      <c r="J27" s="641"/>
      <c r="K27" s="639"/>
      <c r="L27" s="639"/>
      <c r="M27" s="646"/>
      <c r="N27" s="638" t="s">
        <v>623</v>
      </c>
      <c r="O27" s="276" t="s">
        <v>115</v>
      </c>
      <c r="P27" s="638"/>
      <c r="Q27" s="646"/>
      <c r="R27" s="638" t="s">
        <v>348</v>
      </c>
      <c r="S27" s="638">
        <v>6</v>
      </c>
      <c r="T27" s="639"/>
      <c r="U27" s="646"/>
      <c r="V27" s="639"/>
      <c r="W27" s="639"/>
      <c r="X27" s="646"/>
      <c r="Y27" s="663" t="s">
        <v>355</v>
      </c>
      <c r="Z27" s="566"/>
      <c r="AA27" s="492">
        <v>18.5</v>
      </c>
      <c r="AB27" s="600">
        <v>70</v>
      </c>
      <c r="AC27" s="280"/>
      <c r="AG27" s="539"/>
    </row>
    <row r="28" spans="3:35" s="640" customFormat="1" ht="15" customHeight="1" x14ac:dyDescent="0.2">
      <c r="C28" s="637"/>
      <c r="D28" s="638" t="s">
        <v>321</v>
      </c>
      <c r="E28" s="639">
        <v>19</v>
      </c>
      <c r="F28" s="639" t="s">
        <v>169</v>
      </c>
      <c r="H28" s="657" t="s">
        <v>450</v>
      </c>
      <c r="I28" s="642">
        <v>195</v>
      </c>
      <c r="J28" s="641"/>
      <c r="K28" s="639"/>
      <c r="L28" s="639"/>
      <c r="M28" s="646"/>
      <c r="N28" s="638" t="s">
        <v>624</v>
      </c>
      <c r="O28" s="276" t="s">
        <v>115</v>
      </c>
      <c r="P28" s="638"/>
      <c r="Q28" s="646"/>
      <c r="R28" s="638" t="s">
        <v>349</v>
      </c>
      <c r="S28" s="638">
        <v>8</v>
      </c>
      <c r="T28" s="625" t="s">
        <v>529</v>
      </c>
      <c r="U28" s="646"/>
      <c r="V28" s="639"/>
      <c r="W28" s="639"/>
      <c r="X28" s="646"/>
      <c r="Y28" s="663" t="s">
        <v>356</v>
      </c>
      <c r="Z28" s="566"/>
      <c r="AA28" s="493">
        <v>18.5</v>
      </c>
      <c r="AB28" s="600">
        <v>70</v>
      </c>
      <c r="AC28" s="280"/>
      <c r="AG28" s="539"/>
    </row>
    <row r="29" spans="3:35" s="640" customFormat="1" ht="15" customHeight="1" x14ac:dyDescent="0.2">
      <c r="C29" s="637"/>
      <c r="D29" s="638" t="s">
        <v>281</v>
      </c>
      <c r="E29" s="642">
        <f>229-I4</f>
        <v>34</v>
      </c>
      <c r="F29" s="639" t="s">
        <v>170</v>
      </c>
      <c r="H29" s="641" t="s">
        <v>451</v>
      </c>
      <c r="I29" s="642">
        <v>195</v>
      </c>
      <c r="J29" s="641"/>
      <c r="K29" s="639"/>
      <c r="L29" s="639"/>
      <c r="M29" s="646"/>
      <c r="N29" s="638" t="s">
        <v>648</v>
      </c>
      <c r="O29" s="276" t="s">
        <v>115</v>
      </c>
      <c r="P29" s="638"/>
      <c r="Q29" s="646"/>
      <c r="R29" s="638" t="s">
        <v>350</v>
      </c>
      <c r="S29" s="638">
        <v>8</v>
      </c>
      <c r="T29" s="639" t="s">
        <v>195</v>
      </c>
      <c r="U29" s="646"/>
      <c r="V29" s="639"/>
      <c r="W29" s="639"/>
      <c r="X29" s="646"/>
      <c r="Y29" s="663" t="s">
        <v>357</v>
      </c>
      <c r="Z29" s="566"/>
      <c r="AA29" s="493">
        <v>18.5</v>
      </c>
      <c r="AB29" s="600">
        <v>70</v>
      </c>
      <c r="AG29" s="539"/>
    </row>
    <row r="30" spans="3:35" s="640" customFormat="1" ht="15" customHeight="1" thickBot="1" x14ac:dyDescent="0.25">
      <c r="C30" s="637"/>
      <c r="D30" s="638" t="s">
        <v>837</v>
      </c>
      <c r="E30" s="642">
        <f>229-I5</f>
        <v>34</v>
      </c>
      <c r="F30" s="550" t="str">
        <f ca="1">IF(TODAY()&gt;40633,"All","Full")</f>
        <v>All</v>
      </c>
      <c r="H30" s="641" t="s">
        <v>452</v>
      </c>
      <c r="I30" s="642">
        <v>195</v>
      </c>
      <c r="J30" s="641"/>
      <c r="K30" s="639"/>
      <c r="L30" s="639"/>
      <c r="M30" s="646"/>
      <c r="N30" s="638" t="s">
        <v>626</v>
      </c>
      <c r="O30" s="276" t="s">
        <v>115</v>
      </c>
      <c r="P30" s="638"/>
      <c r="Q30" s="646"/>
      <c r="R30" s="638"/>
      <c r="S30" s="638"/>
      <c r="T30" s="639" t="s">
        <v>197</v>
      </c>
      <c r="U30" s="646"/>
      <c r="V30" s="639"/>
      <c r="W30" s="639"/>
      <c r="X30" s="646"/>
      <c r="Y30" s="663" t="s">
        <v>358</v>
      </c>
      <c r="Z30" s="566"/>
      <c r="AA30" s="493">
        <v>18.5</v>
      </c>
      <c r="AB30" s="600">
        <v>70</v>
      </c>
      <c r="AG30" s="539"/>
    </row>
    <row r="31" spans="3:35" s="640" customFormat="1" ht="15" customHeight="1" x14ac:dyDescent="0.2">
      <c r="C31" s="637"/>
      <c r="D31" s="638" t="s">
        <v>722</v>
      </c>
      <c r="E31" s="642">
        <f>229-I6</f>
        <v>34</v>
      </c>
      <c r="F31" s="550" t="str">
        <f ca="1">IF(TODAY()&gt;40633,"All","Full")</f>
        <v>All</v>
      </c>
      <c r="H31" s="641" t="s">
        <v>453</v>
      </c>
      <c r="I31" s="642">
        <v>195</v>
      </c>
      <c r="J31" s="641"/>
      <c r="K31" s="639"/>
      <c r="L31" s="639"/>
      <c r="M31" s="646"/>
      <c r="N31" s="638" t="s">
        <v>627</v>
      </c>
      <c r="O31" s="276" t="s">
        <v>115</v>
      </c>
      <c r="P31" s="638"/>
      <c r="Q31" s="646"/>
      <c r="R31" s="625" t="s">
        <v>535</v>
      </c>
      <c r="S31" s="625"/>
      <c r="T31" s="639" t="s">
        <v>492</v>
      </c>
      <c r="U31" s="646"/>
      <c r="V31" s="639"/>
      <c r="W31" s="639"/>
      <c r="X31" s="646"/>
      <c r="Y31" s="663" t="s">
        <v>359</v>
      </c>
      <c r="Z31" s="566"/>
      <c r="AA31" s="493">
        <v>18.5</v>
      </c>
      <c r="AB31" s="600">
        <v>70</v>
      </c>
      <c r="AF31" s="622"/>
      <c r="AG31" s="539"/>
    </row>
    <row r="32" spans="3:35" s="640" customFormat="1" ht="15" customHeight="1" x14ac:dyDescent="0.2">
      <c r="C32" s="637"/>
      <c r="D32" s="550" t="s">
        <v>282</v>
      </c>
      <c r="E32" s="642">
        <f>229-I8</f>
        <v>34</v>
      </c>
      <c r="F32" s="599" t="s">
        <v>171</v>
      </c>
      <c r="H32" s="641" t="s">
        <v>100</v>
      </c>
      <c r="I32" s="642">
        <v>195</v>
      </c>
      <c r="J32" s="641"/>
      <c r="K32" s="639"/>
      <c r="L32" s="639"/>
      <c r="M32" s="646"/>
      <c r="N32" s="638" t="s">
        <v>628</v>
      </c>
      <c r="O32" s="276" t="s">
        <v>115</v>
      </c>
      <c r="P32" s="638"/>
      <c r="Q32" s="646"/>
      <c r="R32" s="638" t="s">
        <v>538</v>
      </c>
      <c r="S32" s="638">
        <v>2</v>
      </c>
      <c r="T32" s="639"/>
      <c r="U32" s="646"/>
      <c r="V32" s="639"/>
      <c r="W32" s="639"/>
      <c r="X32" s="646"/>
      <c r="Y32" s="663" t="s">
        <v>360</v>
      </c>
      <c r="Z32" s="566"/>
      <c r="AA32" s="493">
        <v>18.5</v>
      </c>
      <c r="AB32" s="600">
        <v>70</v>
      </c>
      <c r="AF32" s="622"/>
      <c r="AG32" s="539"/>
    </row>
    <row r="33" spans="3:35" s="640" customFormat="1" ht="15" customHeight="1" x14ac:dyDescent="0.2">
      <c r="C33" s="637"/>
      <c r="D33" s="550" t="s">
        <v>283</v>
      </c>
      <c r="E33" s="642">
        <f>229-I11</f>
        <v>34</v>
      </c>
      <c r="F33" s="550" t="s">
        <v>171</v>
      </c>
      <c r="H33" s="641" t="s">
        <v>101</v>
      </c>
      <c r="I33" s="642">
        <v>195</v>
      </c>
      <c r="J33" s="641"/>
      <c r="K33" s="639"/>
      <c r="L33" s="639"/>
      <c r="M33" s="646"/>
      <c r="N33" s="638" t="s">
        <v>629</v>
      </c>
      <c r="O33" s="276" t="s">
        <v>115</v>
      </c>
      <c r="P33" s="638"/>
      <c r="Q33" s="646"/>
      <c r="R33" s="638" t="s">
        <v>539</v>
      </c>
      <c r="S33" s="638">
        <v>2</v>
      </c>
      <c r="T33" s="639"/>
      <c r="U33" s="646"/>
      <c r="V33" s="639"/>
      <c r="W33" s="639"/>
      <c r="X33" s="646"/>
      <c r="Y33" s="663" t="s">
        <v>361</v>
      </c>
      <c r="Z33" s="566"/>
      <c r="AA33" s="493">
        <v>18.5</v>
      </c>
      <c r="AB33" s="600">
        <v>70</v>
      </c>
      <c r="AE33" s="622"/>
      <c r="AF33" s="622"/>
      <c r="AG33" s="539"/>
    </row>
    <row r="34" spans="3:35" ht="15" customHeight="1" x14ac:dyDescent="0.2">
      <c r="C34" s="665"/>
      <c r="D34" s="638" t="s">
        <v>500</v>
      </c>
      <c r="E34" s="642">
        <f>229-I14</f>
        <v>34</v>
      </c>
      <c r="F34" s="639" t="s">
        <v>170</v>
      </c>
      <c r="H34" s="666" t="s">
        <v>102</v>
      </c>
      <c r="I34" s="642">
        <v>195</v>
      </c>
      <c r="J34" s="666"/>
      <c r="K34" s="638"/>
      <c r="L34" s="638"/>
      <c r="M34" s="667"/>
      <c r="N34" s="638" t="s">
        <v>630</v>
      </c>
      <c r="O34" s="276" t="s">
        <v>115</v>
      </c>
      <c r="P34" s="638"/>
      <c r="Q34" s="667"/>
      <c r="R34" s="638" t="s">
        <v>537</v>
      </c>
      <c r="S34" s="638">
        <v>3</v>
      </c>
      <c r="T34" s="639"/>
      <c r="U34" s="667"/>
      <c r="V34" s="639"/>
      <c r="W34" s="639"/>
      <c r="X34" s="667"/>
      <c r="Y34" s="663" t="s">
        <v>362</v>
      </c>
      <c r="Z34" s="566"/>
      <c r="AA34" s="493">
        <v>18.5</v>
      </c>
      <c r="AB34" s="600">
        <v>70</v>
      </c>
      <c r="AC34" s="640"/>
      <c r="AD34" s="640"/>
      <c r="AH34" s="640"/>
      <c r="AI34" s="640"/>
    </row>
    <row r="35" spans="3:35" ht="15" customHeight="1" x14ac:dyDescent="0.2">
      <c r="C35" s="665"/>
      <c r="D35" s="638" t="s">
        <v>838</v>
      </c>
      <c r="E35" s="642">
        <f>229-I15</f>
        <v>34</v>
      </c>
      <c r="F35" s="550" t="str">
        <f ca="1">IF(TODAY()&gt;40633,"All","Full")</f>
        <v>All</v>
      </c>
      <c r="H35" s="666" t="s">
        <v>455</v>
      </c>
      <c r="I35" s="642">
        <v>195</v>
      </c>
      <c r="J35" s="666"/>
      <c r="K35" s="638"/>
      <c r="L35" s="638"/>
      <c r="M35" s="667"/>
      <c r="N35" s="638" t="s">
        <v>631</v>
      </c>
      <c r="O35" s="276" t="s">
        <v>115</v>
      </c>
      <c r="P35" s="638"/>
      <c r="Q35" s="667"/>
      <c r="R35" s="638" t="s">
        <v>536</v>
      </c>
      <c r="S35" s="638">
        <v>3</v>
      </c>
      <c r="T35" s="639"/>
      <c r="U35" s="667"/>
      <c r="V35" s="639"/>
      <c r="W35" s="639"/>
      <c r="X35" s="667"/>
      <c r="Y35" s="663" t="s">
        <v>363</v>
      </c>
      <c r="Z35" s="566"/>
      <c r="AA35" s="493">
        <v>18.5</v>
      </c>
      <c r="AB35" s="600">
        <v>70</v>
      </c>
      <c r="AC35" s="656"/>
      <c r="AD35" s="640"/>
      <c r="AH35" s="640"/>
      <c r="AI35" s="640"/>
    </row>
    <row r="36" spans="3:35" ht="15" customHeight="1" x14ac:dyDescent="0.2">
      <c r="C36" s="665"/>
      <c r="D36" s="638" t="s">
        <v>723</v>
      </c>
      <c r="E36" s="642">
        <f>229-I16</f>
        <v>34</v>
      </c>
      <c r="F36" s="550" t="str">
        <f ca="1">IF(TODAY()&gt;40633,"All","Full")</f>
        <v>All</v>
      </c>
      <c r="H36" s="666" t="s">
        <v>103</v>
      </c>
      <c r="I36" s="642">
        <v>195</v>
      </c>
      <c r="J36" s="666"/>
      <c r="K36" s="638"/>
      <c r="L36" s="638"/>
      <c r="M36" s="667"/>
      <c r="N36" s="638" t="s">
        <v>632</v>
      </c>
      <c r="O36" s="276" t="s">
        <v>115</v>
      </c>
      <c r="P36" s="638"/>
      <c r="Q36" s="667"/>
      <c r="R36" s="638" t="s">
        <v>540</v>
      </c>
      <c r="S36" s="638">
        <v>4</v>
      </c>
      <c r="T36" s="639"/>
      <c r="U36" s="667"/>
      <c r="V36" s="638"/>
      <c r="W36" s="638"/>
      <c r="X36" s="667"/>
      <c r="Y36" s="663" t="s">
        <v>364</v>
      </c>
      <c r="Z36" s="566"/>
      <c r="AA36" s="493">
        <v>18.5</v>
      </c>
      <c r="AB36" s="600">
        <v>70</v>
      </c>
      <c r="AC36" s="656"/>
      <c r="AD36" s="640"/>
      <c r="AH36" s="640"/>
      <c r="AI36" s="640"/>
    </row>
    <row r="37" spans="3:35" ht="15" customHeight="1" x14ac:dyDescent="0.2">
      <c r="D37" s="550" t="s">
        <v>501</v>
      </c>
      <c r="E37" s="642">
        <f>240-I18</f>
        <v>45</v>
      </c>
      <c r="F37" s="599" t="s">
        <v>171</v>
      </c>
      <c r="H37" s="666" t="s">
        <v>104</v>
      </c>
      <c r="I37" s="642">
        <v>195</v>
      </c>
      <c r="J37" s="666"/>
      <c r="K37" s="638"/>
      <c r="L37" s="638"/>
      <c r="M37" s="667"/>
      <c r="N37" s="638" t="s">
        <v>633</v>
      </c>
      <c r="O37" s="276" t="s">
        <v>115</v>
      </c>
      <c r="P37" s="638"/>
      <c r="Q37" s="667"/>
      <c r="R37" s="638" t="s">
        <v>541</v>
      </c>
      <c r="S37" s="638">
        <v>4</v>
      </c>
      <c r="T37" s="638"/>
      <c r="U37" s="667"/>
      <c r="V37" s="638"/>
      <c r="W37" s="638"/>
      <c r="X37" s="667"/>
      <c r="Y37" s="663" t="s">
        <v>365</v>
      </c>
      <c r="Z37" s="566"/>
      <c r="AA37" s="493">
        <v>18.5</v>
      </c>
      <c r="AB37" s="600">
        <v>70</v>
      </c>
      <c r="AC37" s="656"/>
      <c r="AH37" s="640"/>
    </row>
    <row r="38" spans="3:35" ht="15" customHeight="1" x14ac:dyDescent="0.2">
      <c r="D38" s="550" t="s">
        <v>533</v>
      </c>
      <c r="E38" s="642">
        <f>240-I21</f>
        <v>45</v>
      </c>
      <c r="F38" s="550" t="s">
        <v>171</v>
      </c>
      <c r="H38" s="666" t="s">
        <v>105</v>
      </c>
      <c r="I38" s="642">
        <v>195</v>
      </c>
      <c r="J38" s="666"/>
      <c r="K38" s="638"/>
      <c r="L38" s="638"/>
      <c r="M38" s="667"/>
      <c r="N38" s="638" t="s">
        <v>634</v>
      </c>
      <c r="O38" s="276" t="s">
        <v>115</v>
      </c>
      <c r="P38" s="638"/>
      <c r="Q38" s="667"/>
      <c r="R38" s="638" t="s">
        <v>542</v>
      </c>
      <c r="S38" s="638">
        <v>4</v>
      </c>
      <c r="T38" s="638"/>
      <c r="U38" s="667"/>
      <c r="V38" s="638"/>
      <c r="W38" s="638"/>
      <c r="X38" s="667"/>
      <c r="Y38" s="663" t="s">
        <v>366</v>
      </c>
      <c r="Z38" s="566"/>
      <c r="AA38" s="493">
        <v>18.5</v>
      </c>
      <c r="AB38" s="600">
        <v>70</v>
      </c>
      <c r="AC38" s="656"/>
    </row>
    <row r="39" spans="3:35" ht="15" customHeight="1" x14ac:dyDescent="0.2">
      <c r="D39" s="638" t="s">
        <v>82</v>
      </c>
      <c r="E39" s="642">
        <f>206-I3</f>
        <v>11</v>
      </c>
      <c r="F39" s="639" t="s">
        <v>169</v>
      </c>
      <c r="H39" s="666" t="s">
        <v>106</v>
      </c>
      <c r="I39" s="642">
        <v>195</v>
      </c>
      <c r="J39" s="666"/>
      <c r="K39" s="638"/>
      <c r="L39" s="638"/>
      <c r="M39" s="667"/>
      <c r="N39" s="638" t="s">
        <v>645</v>
      </c>
      <c r="O39" s="276" t="s">
        <v>115</v>
      </c>
      <c r="P39" s="638"/>
      <c r="Q39" s="667"/>
      <c r="R39" s="638" t="s">
        <v>543</v>
      </c>
      <c r="S39" s="638">
        <v>4</v>
      </c>
      <c r="T39" s="638"/>
      <c r="U39" s="667"/>
      <c r="V39" s="638"/>
      <c r="W39" s="638"/>
      <c r="X39" s="667"/>
      <c r="Y39" s="663" t="s">
        <v>367</v>
      </c>
      <c r="Z39" s="566"/>
      <c r="AA39" s="493">
        <v>18.5</v>
      </c>
      <c r="AB39" s="600">
        <v>70</v>
      </c>
      <c r="AC39" s="668"/>
    </row>
    <row r="40" spans="3:35" ht="15" customHeight="1" x14ac:dyDescent="0.2">
      <c r="D40" s="550" t="s">
        <v>194</v>
      </c>
      <c r="E40" s="664">
        <f>217-I3</f>
        <v>22</v>
      </c>
      <c r="F40" s="539" t="s">
        <v>169</v>
      </c>
      <c r="H40" s="666" t="s">
        <v>107</v>
      </c>
      <c r="I40" s="642">
        <v>195</v>
      </c>
      <c r="J40" s="666"/>
      <c r="K40" s="638"/>
      <c r="L40" s="638"/>
      <c r="M40" s="667"/>
      <c r="N40" s="638" t="s">
        <v>646</v>
      </c>
      <c r="O40" s="276" t="s">
        <v>115</v>
      </c>
      <c r="P40" s="638"/>
      <c r="Q40" s="667"/>
      <c r="R40" s="638" t="s">
        <v>544</v>
      </c>
      <c r="S40" s="638">
        <v>6</v>
      </c>
      <c r="T40" s="638"/>
      <c r="U40" s="667"/>
      <c r="V40" s="638"/>
      <c r="W40" s="638"/>
      <c r="X40" s="667"/>
      <c r="Y40" s="663" t="s">
        <v>368</v>
      </c>
      <c r="Z40" s="669"/>
      <c r="AA40" s="480">
        <v>18.5</v>
      </c>
      <c r="AB40" s="600">
        <v>70</v>
      </c>
      <c r="AC40" s="668"/>
    </row>
    <row r="41" spans="3:35" ht="15" customHeight="1" x14ac:dyDescent="0.2">
      <c r="D41" s="638" t="s">
        <v>839</v>
      </c>
      <c r="E41" s="639">
        <v>0</v>
      </c>
      <c r="F41" s="550" t="s">
        <v>64</v>
      </c>
      <c r="H41" s="666" t="s">
        <v>108</v>
      </c>
      <c r="I41" s="642">
        <v>195</v>
      </c>
      <c r="J41" s="641">
        <v>1</v>
      </c>
      <c r="K41" s="638"/>
      <c r="L41" s="638"/>
      <c r="M41" s="667"/>
      <c r="N41" s="638" t="s">
        <v>647</v>
      </c>
      <c r="O41" s="276" t="s">
        <v>115</v>
      </c>
      <c r="P41" s="638"/>
      <c r="Q41" s="667"/>
      <c r="R41" s="638" t="s">
        <v>545</v>
      </c>
      <c r="S41" s="638">
        <v>6</v>
      </c>
      <c r="T41" s="638"/>
      <c r="U41" s="667"/>
      <c r="V41" s="638"/>
      <c r="W41" s="638"/>
      <c r="X41" s="667"/>
      <c r="Y41" s="663" t="s">
        <v>369</v>
      </c>
      <c r="Z41" s="568"/>
      <c r="AA41" s="480">
        <v>18.5</v>
      </c>
      <c r="AB41" s="598">
        <v>70</v>
      </c>
      <c r="AC41" s="668"/>
    </row>
    <row r="42" spans="3:35" ht="15" customHeight="1" x14ac:dyDescent="0.2">
      <c r="D42" s="638" t="s">
        <v>724</v>
      </c>
      <c r="E42" s="639">
        <v>0</v>
      </c>
      <c r="F42" s="550" t="s">
        <v>64</v>
      </c>
      <c r="H42" s="666" t="s">
        <v>109</v>
      </c>
      <c r="I42" s="642">
        <v>195</v>
      </c>
      <c r="J42" s="641">
        <v>1</v>
      </c>
      <c r="K42" s="638"/>
      <c r="L42" s="638"/>
      <c r="M42" s="667"/>
      <c r="N42" s="638" t="s">
        <v>635</v>
      </c>
      <c r="O42" s="276" t="s">
        <v>115</v>
      </c>
      <c r="P42" s="638"/>
      <c r="Q42" s="667"/>
      <c r="R42" s="638"/>
      <c r="S42" s="638"/>
      <c r="T42" s="638"/>
      <c r="U42" s="667"/>
      <c r="V42" s="638"/>
      <c r="W42" s="638"/>
      <c r="X42" s="667"/>
      <c r="Y42" s="570" t="s">
        <v>178</v>
      </c>
      <c r="Z42" s="670">
        <v>0</v>
      </c>
      <c r="AA42" s="670">
        <v>0</v>
      </c>
      <c r="AB42" s="647"/>
      <c r="AC42" s="668"/>
    </row>
    <row r="43" spans="3:35" ht="15" customHeight="1" x14ac:dyDescent="0.2">
      <c r="D43" s="638" t="s">
        <v>300</v>
      </c>
      <c r="E43" s="639">
        <v>0</v>
      </c>
      <c r="F43" s="550" t="s">
        <v>64</v>
      </c>
      <c r="H43" s="666" t="s">
        <v>456</v>
      </c>
      <c r="I43" s="642">
        <v>195</v>
      </c>
      <c r="J43" s="641">
        <v>1</v>
      </c>
      <c r="K43" s="638"/>
      <c r="L43" s="638"/>
      <c r="M43" s="667"/>
      <c r="N43" s="639"/>
      <c r="O43" s="638"/>
      <c r="P43" s="639"/>
      <c r="Q43" s="667"/>
      <c r="R43" s="638"/>
      <c r="S43" s="638"/>
      <c r="T43" s="638"/>
      <c r="U43" s="667"/>
      <c r="V43" s="638"/>
      <c r="W43" s="638"/>
      <c r="X43" s="667"/>
      <c r="Y43" s="668" t="s">
        <v>528</v>
      </c>
      <c r="Z43" s="671">
        <v>13.5</v>
      </c>
      <c r="AA43" s="671">
        <v>13.5</v>
      </c>
      <c r="AB43" s="647"/>
      <c r="AC43" s="668"/>
    </row>
    <row r="44" spans="3:35" ht="15" customHeight="1" x14ac:dyDescent="0.2">
      <c r="D44" s="638" t="s">
        <v>655</v>
      </c>
      <c r="E44" s="639">
        <v>0</v>
      </c>
      <c r="F44" s="550" t="s">
        <v>64</v>
      </c>
      <c r="H44" s="666" t="s">
        <v>110</v>
      </c>
      <c r="I44" s="642">
        <v>195</v>
      </c>
      <c r="J44" s="641">
        <v>1</v>
      </c>
      <c r="K44" s="638"/>
      <c r="L44" s="638"/>
      <c r="M44" s="667"/>
      <c r="N44" s="639"/>
      <c r="O44" s="638"/>
      <c r="P44" s="639"/>
      <c r="Q44" s="667"/>
      <c r="R44" s="638"/>
      <c r="S44" s="638"/>
      <c r="T44" s="638"/>
      <c r="U44" s="667"/>
      <c r="V44" s="638"/>
      <c r="W44" s="638"/>
      <c r="X44" s="667"/>
      <c r="Y44" s="668" t="s">
        <v>217</v>
      </c>
      <c r="Z44" s="671">
        <v>15.5</v>
      </c>
      <c r="AA44" s="671">
        <v>15.5</v>
      </c>
      <c r="AB44" s="647"/>
      <c r="AC44" s="668"/>
    </row>
    <row r="45" spans="3:35" ht="15" customHeight="1" x14ac:dyDescent="0.2">
      <c r="D45" s="638" t="s">
        <v>840</v>
      </c>
      <c r="E45" s="642">
        <v>34</v>
      </c>
      <c r="F45" s="550" t="s">
        <v>64</v>
      </c>
      <c r="H45" s="666" t="s">
        <v>111</v>
      </c>
      <c r="I45" s="642">
        <v>195</v>
      </c>
      <c r="J45" s="641">
        <v>1</v>
      </c>
      <c r="K45" s="638"/>
      <c r="L45" s="638"/>
      <c r="M45" s="667"/>
      <c r="N45" s="658"/>
      <c r="O45" s="638"/>
      <c r="P45" s="639"/>
      <c r="Q45" s="667"/>
      <c r="R45" s="638"/>
      <c r="S45" s="638"/>
      <c r="T45" s="638"/>
      <c r="U45" s="667"/>
      <c r="V45" s="638"/>
      <c r="W45" s="638"/>
      <c r="X45" s="667"/>
      <c r="Y45" s="668" t="s">
        <v>179</v>
      </c>
      <c r="Z45" s="671">
        <v>17.5</v>
      </c>
      <c r="AA45" s="671">
        <v>17.5</v>
      </c>
      <c r="AB45" s="647"/>
      <c r="AC45" s="668"/>
    </row>
    <row r="46" spans="3:35" ht="15" customHeight="1" x14ac:dyDescent="0.2">
      <c r="D46" s="638" t="s">
        <v>725</v>
      </c>
      <c r="E46" s="642">
        <v>34</v>
      </c>
      <c r="F46" s="550" t="s">
        <v>64</v>
      </c>
      <c r="H46" s="666" t="s">
        <v>165</v>
      </c>
      <c r="I46" s="642">
        <v>195</v>
      </c>
      <c r="J46" s="641">
        <v>1</v>
      </c>
      <c r="K46" s="638"/>
      <c r="L46" s="638"/>
      <c r="M46" s="667"/>
      <c r="N46" s="658"/>
      <c r="O46" s="638"/>
      <c r="P46" s="639"/>
      <c r="Q46" s="667"/>
      <c r="R46" s="638"/>
      <c r="S46" s="638"/>
      <c r="T46" s="638"/>
      <c r="U46" s="667"/>
      <c r="V46" s="638"/>
      <c r="W46" s="638"/>
      <c r="X46" s="667"/>
      <c r="Y46" s="668" t="s">
        <v>180</v>
      </c>
      <c r="Z46" s="671">
        <v>19.5</v>
      </c>
      <c r="AA46" s="671">
        <v>19.5</v>
      </c>
      <c r="AB46" s="647"/>
      <c r="AC46" s="668"/>
    </row>
    <row r="47" spans="3:35" ht="15" customHeight="1" x14ac:dyDescent="0.2">
      <c r="D47" s="638" t="s">
        <v>656</v>
      </c>
      <c r="E47" s="642">
        <v>34</v>
      </c>
      <c r="F47" s="550" t="s">
        <v>64</v>
      </c>
      <c r="H47" s="666" t="s">
        <v>166</v>
      </c>
      <c r="I47" s="642">
        <v>195</v>
      </c>
      <c r="J47" s="641">
        <v>1</v>
      </c>
      <c r="K47" s="638"/>
      <c r="L47" s="638"/>
      <c r="M47" s="667"/>
      <c r="N47" s="658"/>
      <c r="O47" s="638"/>
      <c r="P47" s="639"/>
      <c r="Q47" s="667"/>
      <c r="R47" s="638"/>
      <c r="S47" s="638"/>
      <c r="T47" s="638"/>
      <c r="U47" s="667"/>
      <c r="V47" s="638"/>
      <c r="W47" s="638"/>
      <c r="X47" s="667"/>
      <c r="Y47" s="668" t="s">
        <v>181</v>
      </c>
      <c r="Z47" s="671">
        <v>24</v>
      </c>
      <c r="AA47" s="671">
        <v>24</v>
      </c>
      <c r="AB47" s="647"/>
      <c r="AC47" s="668"/>
    </row>
    <row r="48" spans="3:35" ht="15" customHeight="1" x14ac:dyDescent="0.2">
      <c r="D48" s="638" t="s">
        <v>658</v>
      </c>
      <c r="E48" s="642">
        <v>34</v>
      </c>
      <c r="F48" s="550" t="s">
        <v>64</v>
      </c>
      <c r="H48" s="666" t="s">
        <v>167</v>
      </c>
      <c r="I48" s="642">
        <v>195</v>
      </c>
      <c r="J48" s="641">
        <v>1</v>
      </c>
      <c r="K48" s="638"/>
      <c r="L48" s="638"/>
      <c r="M48" s="667"/>
      <c r="N48" s="658"/>
      <c r="O48" s="638"/>
      <c r="P48" s="639"/>
      <c r="Q48" s="667"/>
      <c r="R48" s="638"/>
      <c r="S48" s="638"/>
      <c r="T48" s="638"/>
      <c r="U48" s="667"/>
      <c r="V48" s="638"/>
      <c r="W48" s="638"/>
      <c r="X48" s="667"/>
      <c r="Y48" s="640"/>
      <c r="Z48" s="640"/>
      <c r="AA48" s="640"/>
      <c r="AB48" s="647"/>
      <c r="AC48" s="668"/>
    </row>
    <row r="49" spans="4:29" ht="15" customHeight="1" x14ac:dyDescent="0.2">
      <c r="D49" s="638" t="s">
        <v>841</v>
      </c>
      <c r="E49" s="642">
        <v>45</v>
      </c>
      <c r="F49" s="550" t="s">
        <v>64</v>
      </c>
      <c r="H49" s="666" t="s">
        <v>428</v>
      </c>
      <c r="I49" s="642">
        <v>195</v>
      </c>
      <c r="J49" s="641">
        <v>1</v>
      </c>
      <c r="K49" s="638"/>
      <c r="L49" s="638"/>
      <c r="M49" s="667"/>
      <c r="N49" s="658"/>
      <c r="O49" s="638"/>
      <c r="P49" s="639"/>
      <c r="Q49" s="667"/>
      <c r="R49" s="638"/>
      <c r="S49" s="638"/>
      <c r="T49" s="638"/>
      <c r="U49" s="667"/>
      <c r="V49" s="638"/>
      <c r="W49" s="638"/>
      <c r="X49" s="667"/>
      <c r="Y49" s="639"/>
      <c r="Z49" s="639"/>
      <c r="AA49" s="656"/>
      <c r="AB49" s="647"/>
      <c r="AC49" s="668"/>
    </row>
    <row r="50" spans="4:29" ht="15" x14ac:dyDescent="0.2">
      <c r="D50" s="638" t="s">
        <v>726</v>
      </c>
      <c r="E50" s="642">
        <v>45</v>
      </c>
      <c r="F50" s="550" t="s">
        <v>64</v>
      </c>
      <c r="H50" s="666" t="s">
        <v>374</v>
      </c>
      <c r="I50" s="642">
        <v>195</v>
      </c>
      <c r="J50" s="641">
        <v>1</v>
      </c>
      <c r="K50" s="638"/>
      <c r="L50" s="638"/>
      <c r="M50" s="667"/>
      <c r="N50" s="658"/>
      <c r="O50" s="638"/>
      <c r="P50" s="639"/>
      <c r="Q50" s="667"/>
      <c r="R50" s="638"/>
      <c r="S50" s="638"/>
      <c r="T50" s="638"/>
      <c r="U50" s="667"/>
      <c r="V50" s="638"/>
      <c r="W50" s="638"/>
      <c r="X50" s="667"/>
      <c r="Y50" s="639"/>
      <c r="Z50" s="639"/>
      <c r="AA50" s="656"/>
      <c r="AB50" s="647"/>
      <c r="AC50" s="668"/>
    </row>
    <row r="51" spans="4:29" ht="15" x14ac:dyDescent="0.2">
      <c r="D51" s="638" t="s">
        <v>660</v>
      </c>
      <c r="E51" s="642">
        <v>45</v>
      </c>
      <c r="F51" s="550" t="s">
        <v>64</v>
      </c>
      <c r="G51" s="667"/>
      <c r="H51" s="666" t="s">
        <v>454</v>
      </c>
      <c r="I51" s="642">
        <v>195</v>
      </c>
      <c r="J51" s="641">
        <v>1</v>
      </c>
      <c r="K51" s="638"/>
      <c r="L51" s="638"/>
      <c r="M51" s="667"/>
      <c r="N51" s="658"/>
      <c r="O51" s="638"/>
      <c r="P51" s="638"/>
      <c r="Q51" s="667"/>
      <c r="R51" s="638"/>
      <c r="S51" s="638"/>
      <c r="T51" s="638"/>
      <c r="U51" s="667"/>
      <c r="V51" s="638"/>
      <c r="W51" s="638"/>
      <c r="X51" s="667"/>
      <c r="Y51" s="639"/>
      <c r="Z51" s="639"/>
      <c r="AA51" s="656"/>
      <c r="AB51" s="664"/>
      <c r="AC51" s="668"/>
    </row>
    <row r="52" spans="4:29" ht="24" x14ac:dyDescent="0.2">
      <c r="D52" s="638" t="s">
        <v>662</v>
      </c>
      <c r="E52" s="642">
        <v>45</v>
      </c>
      <c r="F52" s="550" t="s">
        <v>64</v>
      </c>
      <c r="G52" s="667"/>
      <c r="H52" s="638" t="s">
        <v>488</v>
      </c>
      <c r="I52" s="638">
        <v>100</v>
      </c>
      <c r="J52" s="641">
        <v>1</v>
      </c>
      <c r="K52" s="638"/>
      <c r="L52" s="638"/>
      <c r="M52" s="667"/>
      <c r="N52" s="658"/>
      <c r="O52" s="638"/>
      <c r="P52" s="638"/>
      <c r="Q52" s="667"/>
      <c r="R52" s="638"/>
      <c r="S52" s="638"/>
      <c r="T52" s="638"/>
      <c r="U52" s="667"/>
      <c r="V52" s="638"/>
      <c r="W52" s="638"/>
      <c r="X52" s="667"/>
      <c r="Y52" s="639"/>
      <c r="Z52" s="639"/>
      <c r="AA52" s="656"/>
      <c r="AB52" s="664"/>
      <c r="AC52" s="668"/>
    </row>
    <row r="53" spans="4:29" ht="24" x14ac:dyDescent="0.2">
      <c r="D53" s="638" t="s">
        <v>842</v>
      </c>
      <c r="E53" s="642">
        <v>34</v>
      </c>
      <c r="F53" s="550" t="s">
        <v>64</v>
      </c>
      <c r="G53" s="667"/>
      <c r="H53" s="638" t="s">
        <v>489</v>
      </c>
      <c r="I53" s="638">
        <v>100</v>
      </c>
      <c r="J53" s="641">
        <v>1</v>
      </c>
      <c r="K53" s="638"/>
      <c r="L53" s="638"/>
      <c r="M53" s="667"/>
      <c r="N53" s="638"/>
      <c r="O53" s="638"/>
      <c r="P53" s="638"/>
      <c r="Q53" s="667"/>
      <c r="R53" s="638"/>
      <c r="S53" s="638"/>
      <c r="T53" s="638"/>
      <c r="U53" s="667"/>
      <c r="V53" s="638"/>
      <c r="W53" s="638"/>
      <c r="X53" s="667"/>
      <c r="Y53" s="639"/>
      <c r="Z53" s="639"/>
      <c r="AA53" s="656"/>
      <c r="AB53" s="664"/>
      <c r="AC53" s="668"/>
    </row>
    <row r="54" spans="4:29" x14ac:dyDescent="0.2">
      <c r="D54" s="638" t="s">
        <v>826</v>
      </c>
      <c r="E54" s="642">
        <v>34</v>
      </c>
      <c r="F54" s="550" t="s">
        <v>64</v>
      </c>
      <c r="G54" s="667"/>
      <c r="H54" s="638" t="s">
        <v>490</v>
      </c>
      <c r="I54" s="638">
        <v>168</v>
      </c>
      <c r="J54" s="641">
        <v>1</v>
      </c>
      <c r="K54" s="638"/>
      <c r="L54" s="638"/>
      <c r="M54" s="667"/>
      <c r="N54" s="638"/>
      <c r="O54" s="638"/>
      <c r="P54" s="638"/>
      <c r="Q54" s="667"/>
      <c r="R54" s="638"/>
      <c r="S54" s="638"/>
      <c r="T54" s="638"/>
      <c r="U54" s="667"/>
      <c r="V54" s="638"/>
      <c r="W54" s="638"/>
      <c r="X54" s="667"/>
      <c r="Y54" s="639"/>
      <c r="Z54" s="639"/>
      <c r="AA54" s="656"/>
      <c r="AB54" s="572"/>
      <c r="AC54" s="668"/>
    </row>
    <row r="55" spans="4:29" x14ac:dyDescent="0.2">
      <c r="D55" s="638" t="s">
        <v>657</v>
      </c>
      <c r="E55" s="642">
        <v>34</v>
      </c>
      <c r="F55" s="550" t="s">
        <v>64</v>
      </c>
      <c r="G55" s="667"/>
      <c r="H55" s="638" t="s">
        <v>491</v>
      </c>
      <c r="I55" s="638">
        <v>168</v>
      </c>
      <c r="J55" s="641">
        <v>1</v>
      </c>
      <c r="K55" s="638"/>
      <c r="L55" s="638"/>
      <c r="M55" s="667"/>
      <c r="N55" s="638"/>
      <c r="O55" s="638"/>
      <c r="P55" s="638"/>
      <c r="Q55" s="667"/>
      <c r="T55" s="638"/>
      <c r="U55" s="667"/>
      <c r="V55" s="638"/>
      <c r="W55" s="638"/>
      <c r="X55" s="667"/>
      <c r="Y55" s="639"/>
      <c r="Z55" s="639"/>
      <c r="AA55" s="656"/>
      <c r="AB55" s="572"/>
      <c r="AC55" s="668"/>
    </row>
    <row r="56" spans="4:29" x14ac:dyDescent="0.2">
      <c r="D56" s="638" t="s">
        <v>659</v>
      </c>
      <c r="E56" s="642">
        <v>34</v>
      </c>
      <c r="F56" s="550" t="s">
        <v>64</v>
      </c>
      <c r="G56" s="667"/>
      <c r="H56" s="672"/>
      <c r="I56" s="639"/>
      <c r="J56" s="641"/>
      <c r="K56" s="638"/>
      <c r="L56" s="638"/>
      <c r="M56" s="667"/>
      <c r="N56" s="638"/>
      <c r="O56" s="638"/>
      <c r="P56" s="638"/>
      <c r="Q56" s="667"/>
      <c r="T56" s="638"/>
      <c r="U56" s="667"/>
      <c r="V56" s="638"/>
      <c r="W56" s="638"/>
      <c r="X56" s="667"/>
      <c r="Y56" s="639"/>
      <c r="Z56" s="639"/>
      <c r="AA56" s="656"/>
      <c r="AB56" s="572"/>
      <c r="AC56" s="668"/>
    </row>
    <row r="57" spans="4:29" ht="15.75" x14ac:dyDescent="0.25">
      <c r="D57" s="638" t="s">
        <v>843</v>
      </c>
      <c r="E57" s="642">
        <v>45</v>
      </c>
      <c r="F57" s="550" t="s">
        <v>64</v>
      </c>
      <c r="G57" s="667"/>
      <c r="H57" s="472"/>
      <c r="I57" s="639"/>
      <c r="J57" s="641"/>
      <c r="K57" s="638"/>
      <c r="L57" s="638"/>
      <c r="M57" s="667"/>
      <c r="N57" s="638"/>
      <c r="O57" s="638"/>
      <c r="P57" s="638"/>
      <c r="Q57" s="667"/>
      <c r="T57" s="638"/>
      <c r="U57" s="667"/>
      <c r="V57" s="638"/>
      <c r="W57" s="638"/>
      <c r="X57" s="667"/>
      <c r="Y57" s="639"/>
      <c r="Z57" s="639"/>
      <c r="AA57" s="639"/>
      <c r="AB57" s="572"/>
      <c r="AC57" s="668"/>
    </row>
    <row r="58" spans="4:29" ht="15.75" x14ac:dyDescent="0.25">
      <c r="D58" s="638" t="s">
        <v>827</v>
      </c>
      <c r="E58" s="642">
        <v>45</v>
      </c>
      <c r="F58" s="550" t="s">
        <v>64</v>
      </c>
      <c r="G58" s="667"/>
      <c r="H58" s="472"/>
      <c r="I58" s="639"/>
      <c r="J58" s="641"/>
      <c r="K58" s="638"/>
      <c r="L58" s="638"/>
      <c r="M58" s="667"/>
      <c r="N58" s="638"/>
      <c r="O58" s="638"/>
      <c r="P58" s="638"/>
      <c r="Q58" s="667"/>
      <c r="T58" s="638"/>
      <c r="U58" s="667"/>
      <c r="V58" s="638"/>
      <c r="W58" s="638"/>
      <c r="X58" s="667"/>
      <c r="Y58" s="639"/>
      <c r="Z58" s="639"/>
      <c r="AA58" s="639"/>
      <c r="AB58" s="572"/>
      <c r="AC58" s="668"/>
    </row>
    <row r="59" spans="4:29" ht="15.75" x14ac:dyDescent="0.25">
      <c r="D59" s="638" t="s">
        <v>661</v>
      </c>
      <c r="E59" s="642">
        <v>45</v>
      </c>
      <c r="F59" s="550" t="s">
        <v>64</v>
      </c>
      <c r="H59" s="472"/>
      <c r="I59" s="640"/>
      <c r="J59" s="641"/>
      <c r="N59" s="638"/>
      <c r="O59" s="638"/>
      <c r="P59" s="638"/>
      <c r="T59" s="638"/>
      <c r="V59" s="638"/>
      <c r="W59" s="638"/>
      <c r="Y59" s="639"/>
      <c r="Z59" s="639"/>
      <c r="AA59" s="639"/>
      <c r="AB59" s="572"/>
      <c r="AC59" s="668"/>
    </row>
    <row r="60" spans="4:29" x14ac:dyDescent="0.2">
      <c r="D60" s="638" t="s">
        <v>663</v>
      </c>
      <c r="E60" s="642">
        <v>45</v>
      </c>
      <c r="F60" s="550" t="s">
        <v>64</v>
      </c>
      <c r="H60" s="640"/>
      <c r="I60" s="640"/>
      <c r="J60" s="641"/>
      <c r="N60" s="638"/>
      <c r="O60" s="638"/>
      <c r="P60" s="638"/>
      <c r="T60" s="638"/>
      <c r="V60" s="638"/>
      <c r="W60" s="638"/>
      <c r="Y60" s="639"/>
      <c r="Z60" s="639"/>
      <c r="AA60" s="639"/>
      <c r="AB60" s="572"/>
      <c r="AC60" s="668"/>
    </row>
    <row r="61" spans="4:29" x14ac:dyDescent="0.2">
      <c r="D61" s="639"/>
      <c r="E61" s="639"/>
      <c r="F61" s="646"/>
      <c r="J61" s="641"/>
      <c r="N61" s="638"/>
      <c r="O61" s="638"/>
      <c r="P61" s="638"/>
      <c r="T61" s="638"/>
      <c r="Y61" s="639"/>
      <c r="Z61" s="639"/>
      <c r="AA61" s="639"/>
      <c r="AB61" s="572"/>
      <c r="AC61" s="668"/>
    </row>
    <row r="62" spans="4:29" x14ac:dyDescent="0.2">
      <c r="D62" s="639" t="s">
        <v>325</v>
      </c>
      <c r="E62" s="639"/>
      <c r="F62" s="646"/>
      <c r="N62" s="638"/>
      <c r="O62" s="638"/>
      <c r="P62" s="638"/>
      <c r="Y62" s="639"/>
      <c r="Z62" s="639"/>
      <c r="AA62" s="639"/>
      <c r="AC62" s="668"/>
    </row>
    <row r="63" spans="4:29" x14ac:dyDescent="0.2">
      <c r="D63" s="639"/>
      <c r="E63" s="639"/>
      <c r="F63" s="646"/>
      <c r="N63" s="638"/>
      <c r="O63" s="638"/>
      <c r="P63" s="638"/>
      <c r="Y63" s="639"/>
      <c r="Z63" s="639"/>
      <c r="AA63" s="639"/>
      <c r="AB63" s="550"/>
      <c r="AC63" s="668"/>
    </row>
    <row r="64" spans="4:29" x14ac:dyDescent="0.2">
      <c r="D64" s="639"/>
      <c r="E64" s="639"/>
      <c r="F64" s="646"/>
      <c r="N64" s="638"/>
      <c r="O64" s="638"/>
      <c r="P64" s="638"/>
      <c r="Y64" s="639"/>
      <c r="Z64" s="639"/>
      <c r="AA64" s="639"/>
      <c r="AB64" s="550"/>
      <c r="AC64" s="668"/>
    </row>
    <row r="65" spans="4:29" ht="12.75" thickBot="1" x14ac:dyDescent="0.25">
      <c r="D65" s="639"/>
      <c r="E65" s="639"/>
      <c r="F65" s="646"/>
      <c r="N65" s="638"/>
      <c r="O65" s="638"/>
      <c r="P65" s="638"/>
      <c r="Y65" s="639"/>
      <c r="Z65" s="639"/>
      <c r="AA65" s="639"/>
      <c r="AB65" s="550"/>
      <c r="AC65" s="668"/>
    </row>
    <row r="66" spans="4:29" x14ac:dyDescent="0.2">
      <c r="D66" s="625" t="s">
        <v>267</v>
      </c>
      <c r="E66" s="639"/>
      <c r="F66" s="646"/>
      <c r="N66" s="638"/>
      <c r="O66" s="638"/>
      <c r="P66" s="638"/>
      <c r="Y66" s="639"/>
      <c r="Z66" s="639"/>
      <c r="AA66" s="639"/>
      <c r="AB66" s="550"/>
      <c r="AC66" s="668"/>
    </row>
    <row r="67" spans="4:29" x14ac:dyDescent="0.2">
      <c r="D67" s="638" t="s">
        <v>832</v>
      </c>
      <c r="E67" s="639"/>
      <c r="F67" s="646"/>
      <c r="N67" s="638"/>
      <c r="O67" s="638"/>
      <c r="P67" s="638"/>
      <c r="Y67" s="638"/>
      <c r="Z67" s="638"/>
      <c r="AA67" s="638"/>
      <c r="AB67" s="550"/>
      <c r="AC67" s="668"/>
    </row>
    <row r="68" spans="4:29" x14ac:dyDescent="0.2">
      <c r="D68" s="638" t="s">
        <v>716</v>
      </c>
      <c r="E68" s="639"/>
      <c r="F68" s="646"/>
      <c r="N68" s="638"/>
      <c r="O68" s="638"/>
      <c r="P68" s="638"/>
      <c r="Y68" s="638"/>
      <c r="Z68" s="638"/>
      <c r="AA68" s="638"/>
      <c r="AB68" s="550"/>
      <c r="AC68" s="668"/>
    </row>
    <row r="69" spans="4:29" x14ac:dyDescent="0.2">
      <c r="D69" s="638" t="s">
        <v>50</v>
      </c>
      <c r="E69" s="639"/>
      <c r="F69" s="646"/>
      <c r="N69" s="638"/>
      <c r="O69" s="638"/>
      <c r="P69" s="638"/>
      <c r="Y69" s="638"/>
      <c r="Z69" s="638"/>
      <c r="AA69" s="638"/>
      <c r="AB69" s="550"/>
    </row>
    <row r="70" spans="4:29" x14ac:dyDescent="0.2">
      <c r="D70" s="638" t="s">
        <v>837</v>
      </c>
      <c r="E70" s="639"/>
      <c r="F70" s="646"/>
      <c r="N70" s="638"/>
      <c r="O70" s="638"/>
      <c r="P70" s="638"/>
      <c r="Y70" s="638"/>
      <c r="Z70" s="638"/>
      <c r="AA70" s="638"/>
      <c r="AB70" s="550"/>
    </row>
    <row r="71" spans="4:29" x14ac:dyDescent="0.2">
      <c r="D71" s="638" t="s">
        <v>722</v>
      </c>
      <c r="E71" s="639"/>
      <c r="F71" s="646"/>
      <c r="N71" s="638"/>
      <c r="O71" s="638"/>
      <c r="P71" s="638"/>
      <c r="Y71" s="638"/>
      <c r="Z71" s="638"/>
      <c r="AA71" s="638"/>
      <c r="AB71" s="572"/>
    </row>
    <row r="72" spans="4:29" x14ac:dyDescent="0.2">
      <c r="D72" s="638" t="s">
        <v>282</v>
      </c>
      <c r="E72" s="639"/>
      <c r="F72" s="646"/>
      <c r="N72" s="638"/>
      <c r="O72" s="638"/>
      <c r="P72" s="638"/>
      <c r="Y72" s="638"/>
      <c r="Z72" s="638"/>
      <c r="AA72" s="638"/>
      <c r="AB72" s="572"/>
    </row>
    <row r="73" spans="4:29" ht="12.75" thickBot="1" x14ac:dyDescent="0.25">
      <c r="D73" s="638"/>
      <c r="E73" s="639"/>
      <c r="F73" s="646"/>
      <c r="N73" s="638"/>
      <c r="O73" s="638"/>
      <c r="P73" s="638"/>
      <c r="Y73" s="638"/>
      <c r="Z73" s="638"/>
      <c r="AA73" s="638"/>
      <c r="AB73" s="572"/>
    </row>
    <row r="74" spans="4:29" x14ac:dyDescent="0.2">
      <c r="D74" s="625" t="s">
        <v>299</v>
      </c>
      <c r="E74" s="639"/>
      <c r="F74" s="646"/>
      <c r="N74" s="638"/>
      <c r="O74" s="638"/>
      <c r="P74" s="638"/>
      <c r="Y74" s="638"/>
      <c r="Z74" s="638"/>
      <c r="AA74" s="638"/>
      <c r="AB74" s="572"/>
    </row>
    <row r="75" spans="4:29" x14ac:dyDescent="0.2">
      <c r="D75" s="638" t="s">
        <v>49</v>
      </c>
      <c r="E75" s="639"/>
      <c r="F75" s="646"/>
      <c r="N75" s="638"/>
      <c r="O75" s="638"/>
      <c r="P75" s="638"/>
      <c r="Y75" s="638"/>
      <c r="Z75" s="638"/>
      <c r="AA75" s="638"/>
      <c r="AB75" s="572"/>
    </row>
    <row r="76" spans="4:29" x14ac:dyDescent="0.2">
      <c r="D76" s="638" t="s">
        <v>832</v>
      </c>
      <c r="E76" s="638"/>
      <c r="F76" s="667"/>
      <c r="N76" s="638"/>
      <c r="O76" s="638"/>
      <c r="P76" s="638"/>
      <c r="Y76" s="638"/>
      <c r="Z76" s="638"/>
      <c r="AA76" s="638"/>
      <c r="AB76" s="572"/>
    </row>
    <row r="77" spans="4:29" x14ac:dyDescent="0.2">
      <c r="D77" s="638" t="s">
        <v>716</v>
      </c>
      <c r="E77" s="638"/>
      <c r="F77" s="667"/>
      <c r="N77" s="638"/>
      <c r="O77" s="638"/>
      <c r="P77" s="638"/>
      <c r="AB77" s="572"/>
    </row>
    <row r="78" spans="4:29" x14ac:dyDescent="0.2">
      <c r="D78" s="638" t="s">
        <v>50</v>
      </c>
      <c r="E78" s="638"/>
      <c r="F78" s="667"/>
      <c r="N78" s="638"/>
      <c r="O78" s="638"/>
      <c r="P78" s="638"/>
      <c r="AB78" s="572"/>
    </row>
    <row r="79" spans="4:29" x14ac:dyDescent="0.2">
      <c r="D79" s="638" t="s">
        <v>75</v>
      </c>
      <c r="E79" s="638"/>
      <c r="F79" s="667"/>
      <c r="N79" s="638"/>
      <c r="O79" s="638"/>
      <c r="P79" s="638"/>
      <c r="AB79" s="572"/>
    </row>
    <row r="80" spans="4:29" x14ac:dyDescent="0.2">
      <c r="D80" s="638" t="s">
        <v>82</v>
      </c>
      <c r="E80" s="638"/>
      <c r="F80" s="667"/>
      <c r="N80" s="638"/>
      <c r="O80" s="638"/>
      <c r="P80" s="638"/>
      <c r="AB80" s="572"/>
    </row>
    <row r="81" spans="4:28" x14ac:dyDescent="0.2">
      <c r="D81" s="638" t="s">
        <v>194</v>
      </c>
      <c r="E81" s="638"/>
      <c r="F81" s="667"/>
      <c r="H81" s="673"/>
      <c r="N81" s="638"/>
      <c r="O81" s="638"/>
      <c r="P81" s="638"/>
      <c r="AB81" s="572"/>
    </row>
    <row r="82" spans="4:28" x14ac:dyDescent="0.2">
      <c r="D82" s="638" t="s">
        <v>312</v>
      </c>
      <c r="E82" s="638"/>
      <c r="F82" s="667"/>
      <c r="H82" s="673"/>
      <c r="N82" s="638"/>
      <c r="O82" s="638"/>
      <c r="P82" s="638"/>
      <c r="AB82" s="572"/>
    </row>
    <row r="83" spans="4:28" x14ac:dyDescent="0.2">
      <c r="D83" s="638" t="s">
        <v>313</v>
      </c>
      <c r="E83" s="638"/>
      <c r="F83" s="667"/>
      <c r="N83" s="638"/>
      <c r="O83" s="638"/>
      <c r="P83" s="638"/>
      <c r="AB83" s="572"/>
    </row>
    <row r="84" spans="4:28" x14ac:dyDescent="0.2">
      <c r="D84" s="638" t="s">
        <v>833</v>
      </c>
      <c r="E84" s="638"/>
      <c r="F84" s="667"/>
      <c r="N84" s="638"/>
      <c r="O84" s="638"/>
      <c r="P84" s="638"/>
      <c r="AB84" s="572"/>
    </row>
    <row r="85" spans="4:28" x14ac:dyDescent="0.2">
      <c r="D85" s="638" t="s">
        <v>834</v>
      </c>
      <c r="E85" s="638"/>
      <c r="F85" s="667"/>
      <c r="N85" s="638"/>
      <c r="O85" s="638"/>
      <c r="P85" s="638"/>
      <c r="AB85" s="572"/>
    </row>
    <row r="86" spans="4:28" x14ac:dyDescent="0.2">
      <c r="D86" s="638" t="s">
        <v>718</v>
      </c>
      <c r="E86" s="638"/>
      <c r="F86" s="667"/>
      <c r="N86" s="638"/>
      <c r="O86" s="638"/>
      <c r="P86" s="638"/>
      <c r="AB86" s="572"/>
    </row>
    <row r="87" spans="4:28" x14ac:dyDescent="0.2">
      <c r="D87" s="638" t="s">
        <v>719</v>
      </c>
      <c r="E87" s="638"/>
      <c r="F87" s="667"/>
      <c r="N87" s="638"/>
      <c r="O87" s="638"/>
      <c r="P87" s="638"/>
      <c r="AB87" s="572"/>
    </row>
    <row r="88" spans="4:28" x14ac:dyDescent="0.2">
      <c r="D88" s="638" t="s">
        <v>322</v>
      </c>
      <c r="E88" s="638"/>
      <c r="F88" s="667"/>
      <c r="N88" s="638"/>
      <c r="O88" s="638"/>
      <c r="P88" s="638"/>
      <c r="AB88" s="572"/>
    </row>
    <row r="89" spans="4:28" x14ac:dyDescent="0.2">
      <c r="D89" s="638" t="s">
        <v>323</v>
      </c>
      <c r="E89" s="638"/>
      <c r="F89" s="667"/>
      <c r="O89" s="638"/>
      <c r="P89" s="638"/>
      <c r="AB89" s="572"/>
    </row>
    <row r="90" spans="4:28" x14ac:dyDescent="0.2">
      <c r="D90" s="638" t="s">
        <v>314</v>
      </c>
      <c r="E90" s="638"/>
      <c r="F90" s="667"/>
      <c r="P90" s="638"/>
      <c r="AB90" s="572"/>
    </row>
    <row r="91" spans="4:28" x14ac:dyDescent="0.2">
      <c r="D91" s="638" t="s">
        <v>315</v>
      </c>
      <c r="E91" s="638"/>
      <c r="F91" s="667"/>
    </row>
    <row r="92" spans="4:28" x14ac:dyDescent="0.2">
      <c r="D92" s="638" t="s">
        <v>316</v>
      </c>
      <c r="E92" s="638"/>
      <c r="F92" s="667"/>
    </row>
    <row r="93" spans="4:28" x14ac:dyDescent="0.2">
      <c r="D93" s="638" t="s">
        <v>317</v>
      </c>
      <c r="E93" s="638"/>
      <c r="F93" s="667"/>
    </row>
    <row r="94" spans="4:28" x14ac:dyDescent="0.2">
      <c r="D94" s="638" t="s">
        <v>835</v>
      </c>
    </row>
    <row r="95" spans="4:28" x14ac:dyDescent="0.2">
      <c r="D95" s="638" t="s">
        <v>836</v>
      </c>
    </row>
    <row r="96" spans="4:28" x14ac:dyDescent="0.2">
      <c r="D96" s="638" t="s">
        <v>720</v>
      </c>
    </row>
    <row r="97" spans="4:4" x14ac:dyDescent="0.2">
      <c r="D97" s="638" t="s">
        <v>721</v>
      </c>
    </row>
    <row r="98" spans="4:4" x14ac:dyDescent="0.2">
      <c r="D98" s="638" t="s">
        <v>318</v>
      </c>
    </row>
    <row r="99" spans="4:4" x14ac:dyDescent="0.2">
      <c r="D99" s="638" t="s">
        <v>319</v>
      </c>
    </row>
    <row r="100" spans="4:4" x14ac:dyDescent="0.2">
      <c r="D100" s="638" t="s">
        <v>320</v>
      </c>
    </row>
    <row r="101" spans="4:4" x14ac:dyDescent="0.2">
      <c r="D101" s="638" t="s">
        <v>321</v>
      </c>
    </row>
  </sheetData>
  <mergeCells count="3">
    <mergeCell ref="D1:E1"/>
    <mergeCell ref="K1:L1"/>
    <mergeCell ref="N1:O1"/>
  </mergeCells>
  <dataValidations count="1">
    <dataValidation type="textLength" operator="lessThan" allowBlank="1" showInputMessage="1" showErrorMessage="1" errorTitle="Protection" error="You mustn't add to the list here!" promptTitle="Protection" prompt="Do not add new entries at the bottom of the list._x000a__x000a_Insert new cells above this cell and add your entry." sqref="Y48:AA48 K6:M6 AC18 T13 V13:W13 AE6:AF6 I57 AB62 P43" xr:uid="{00000000-0002-0000-0700-000000000000}">
      <formula1>0</formula1>
    </dataValidation>
  </dataValidations>
  <pageMargins left="0.15748031496062992" right="0.15748031496062992" top="0.27559055118110237" bottom="0.39370078740157483" header="0.15748031496062992" footer="0.19685039370078741"/>
  <pageSetup paperSize="9" scale="39" fitToWidth="2" orientation="landscape" r:id="rId1"/>
  <headerFooter alignWithMargins="0">
    <oddHeader>&amp;A&amp;RPage &amp;P</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BZ95"/>
  <sheetViews>
    <sheetView showGridLines="0" topLeftCell="CA1" zoomScale="75" zoomScaleNormal="25" workbookViewId="0">
      <selection sqref="A1:BZ1048576"/>
    </sheetView>
  </sheetViews>
  <sheetFormatPr defaultRowHeight="12" x14ac:dyDescent="0.2"/>
  <cols>
    <col min="1" max="1" width="8.88671875" style="539" hidden="1" customWidth="1"/>
    <col min="2" max="2" width="2.88671875" style="539" hidden="1" customWidth="1"/>
    <col min="3" max="3" width="5.21875" style="537" hidden="1" customWidth="1"/>
    <col min="4" max="4" width="26.88671875" style="539" hidden="1" customWidth="1"/>
    <col min="5" max="5" width="10.6640625" style="539" hidden="1" customWidth="1"/>
    <col min="6" max="6" width="11.5546875" style="539" hidden="1" customWidth="1"/>
    <col min="7" max="7" width="4.33203125" style="537" hidden="1" customWidth="1"/>
    <col min="8" max="8" width="14.88671875" style="554" hidden="1" customWidth="1"/>
    <col min="9" max="9" width="8.109375" style="539" hidden="1" customWidth="1"/>
    <col min="10" max="10" width="4.77734375" style="537" hidden="1" customWidth="1"/>
    <col min="11" max="11" width="6.21875" style="539" hidden="1" customWidth="1"/>
    <col min="12" max="12" width="7.109375" style="539" hidden="1" customWidth="1"/>
    <col min="13" max="13" width="4.77734375" style="537" hidden="1" customWidth="1"/>
    <col min="14" max="14" width="26.33203125" style="539" hidden="1" customWidth="1"/>
    <col min="15" max="15" width="11.21875" style="539" hidden="1" customWidth="1"/>
    <col min="16" max="16" width="12" style="539" hidden="1" customWidth="1"/>
    <col min="17" max="17" width="4.44140625" style="537" hidden="1" customWidth="1"/>
    <col min="18" max="18" width="10.109375" style="539" hidden="1" customWidth="1"/>
    <col min="19" max="19" width="7.21875" style="539" hidden="1" customWidth="1"/>
    <col min="20" max="20" width="13" style="539" hidden="1" customWidth="1"/>
    <col min="21" max="21" width="4" style="537" hidden="1" customWidth="1"/>
    <col min="22" max="22" width="28.109375" style="554" hidden="1" customWidth="1"/>
    <col min="23" max="23" width="10.33203125" style="539" hidden="1" customWidth="1"/>
    <col min="24" max="24" width="4.33203125" style="537" hidden="1" customWidth="1"/>
    <col min="25" max="25" width="25.77734375" style="539" hidden="1" customWidth="1"/>
    <col min="26" max="27" width="10.88671875" style="539" hidden="1" customWidth="1"/>
    <col min="28" max="29" width="17.6640625" style="539" hidden="1" customWidth="1"/>
    <col min="30" max="31" width="15.109375" style="539" hidden="1" customWidth="1"/>
    <col min="32" max="78" width="8.88671875" style="539" hidden="1" customWidth="1"/>
    <col min="79" max="16384" width="8.88671875" style="539"/>
  </cols>
  <sheetData>
    <row r="1" spans="2:34" ht="12.75" thickBot="1" x14ac:dyDescent="0.25">
      <c r="B1" s="536" t="s">
        <v>69</v>
      </c>
      <c r="D1" s="1536" t="s">
        <v>72</v>
      </c>
      <c r="E1" s="1536"/>
      <c r="F1" s="538"/>
      <c r="K1" s="1536" t="s">
        <v>70</v>
      </c>
      <c r="L1" s="1536"/>
      <c r="N1" s="1536" t="s">
        <v>71</v>
      </c>
      <c r="O1" s="1536"/>
      <c r="Y1" s="540" t="s">
        <v>76</v>
      </c>
      <c r="Z1" s="540"/>
      <c r="AA1" s="540"/>
      <c r="AB1" s="555"/>
      <c r="AC1" s="540" t="s">
        <v>77</v>
      </c>
      <c r="AD1" s="540"/>
    </row>
    <row r="2" spans="2:34" ht="36" x14ac:dyDescent="0.2">
      <c r="C2" s="541"/>
      <c r="D2" s="542" t="s">
        <v>1</v>
      </c>
      <c r="E2" s="542" t="s">
        <v>67</v>
      </c>
      <c r="F2" s="543" t="s">
        <v>168</v>
      </c>
      <c r="G2" s="541"/>
      <c r="H2" s="614" t="s">
        <v>2</v>
      </c>
      <c r="I2" s="542" t="s">
        <v>73</v>
      </c>
      <c r="J2" s="541"/>
      <c r="K2" s="542" t="s">
        <v>40</v>
      </c>
      <c r="L2" s="542" t="s">
        <v>66</v>
      </c>
      <c r="M2" s="541"/>
      <c r="N2" s="542" t="s">
        <v>3</v>
      </c>
      <c r="O2" s="542" t="s">
        <v>173</v>
      </c>
      <c r="P2" s="542" t="s">
        <v>55</v>
      </c>
      <c r="Q2" s="541"/>
      <c r="R2" s="542" t="s">
        <v>14</v>
      </c>
      <c r="S2" s="542" t="s">
        <v>25</v>
      </c>
      <c r="T2" s="542" t="s">
        <v>15</v>
      </c>
      <c r="U2" s="541"/>
      <c r="V2" s="614" t="s">
        <v>16</v>
      </c>
      <c r="W2" s="542" t="s">
        <v>68</v>
      </c>
      <c r="X2" s="541"/>
      <c r="Y2" s="542" t="s">
        <v>26</v>
      </c>
      <c r="Z2" s="542" t="s">
        <v>352</v>
      </c>
      <c r="AA2" s="542" t="s">
        <v>142</v>
      </c>
      <c r="AB2" s="555"/>
      <c r="AC2" s="542" t="s">
        <v>39</v>
      </c>
      <c r="AD2" s="542" t="s">
        <v>272</v>
      </c>
      <c r="AE2" s="544" t="s">
        <v>83</v>
      </c>
      <c r="AF2" s="613" t="s">
        <v>73</v>
      </c>
      <c r="AG2" s="545" t="s">
        <v>237</v>
      </c>
      <c r="AH2" s="545" t="s">
        <v>435</v>
      </c>
    </row>
    <row r="3" spans="2:34" x14ac:dyDescent="0.2">
      <c r="C3" s="541"/>
      <c r="D3" s="543"/>
      <c r="E3" s="543"/>
      <c r="F3" s="543"/>
      <c r="G3" s="541"/>
      <c r="H3" s="612" t="s">
        <v>74</v>
      </c>
      <c r="I3" s="546">
        <v>208</v>
      </c>
      <c r="J3" s="541"/>
      <c r="K3" s="543"/>
      <c r="L3" s="543"/>
      <c r="M3" s="541"/>
      <c r="N3" s="543"/>
      <c r="O3" s="543"/>
      <c r="P3" s="543"/>
      <c r="Q3" s="541"/>
      <c r="R3" s="543"/>
      <c r="S3" s="543"/>
      <c r="T3" s="543"/>
      <c r="U3" s="541"/>
      <c r="V3" s="618"/>
      <c r="W3" s="543"/>
      <c r="X3" s="541"/>
      <c r="Y3" s="543"/>
      <c r="Z3" s="543"/>
      <c r="AA3" s="543"/>
      <c r="AB3" s="555"/>
      <c r="AC3" s="543"/>
      <c r="AD3" s="548"/>
      <c r="AE3" s="549"/>
      <c r="AF3" s="545"/>
      <c r="AG3" s="545"/>
      <c r="AH3" s="545"/>
    </row>
    <row r="4" spans="2:34" ht="15" customHeight="1" x14ac:dyDescent="0.2">
      <c r="B4" s="610">
        <v>1</v>
      </c>
      <c r="C4" s="573"/>
      <c r="D4" s="550" t="s">
        <v>434</v>
      </c>
      <c r="E4" s="550">
        <v>0</v>
      </c>
      <c r="F4" s="550" t="s">
        <v>170</v>
      </c>
      <c r="G4" s="574"/>
      <c r="H4" s="552" t="s">
        <v>84</v>
      </c>
      <c r="I4" s="553">
        <v>208</v>
      </c>
      <c r="J4" s="575"/>
      <c r="K4" s="564" t="s">
        <v>64</v>
      </c>
      <c r="L4" s="611"/>
      <c r="M4" s="575"/>
      <c r="N4" s="550" t="s">
        <v>4</v>
      </c>
      <c r="O4" s="553">
        <v>0</v>
      </c>
      <c r="P4" s="550">
        <v>2</v>
      </c>
      <c r="Q4" s="574"/>
      <c r="R4" s="550" t="s">
        <v>17</v>
      </c>
      <c r="S4" s="550">
        <v>1</v>
      </c>
      <c r="T4" s="550" t="s">
        <v>195</v>
      </c>
      <c r="U4" s="574"/>
      <c r="V4" s="551" t="s">
        <v>38</v>
      </c>
      <c r="W4" s="553">
        <v>0</v>
      </c>
      <c r="X4" s="574"/>
      <c r="Y4" s="560" t="s">
        <v>223</v>
      </c>
      <c r="AA4" s="553">
        <v>11.5</v>
      </c>
      <c r="AB4" s="555"/>
      <c r="AC4" s="609" t="s">
        <v>207</v>
      </c>
      <c r="AD4" s="608">
        <v>0</v>
      </c>
      <c r="AE4" s="556" t="s">
        <v>131</v>
      </c>
      <c r="AF4" s="557">
        <v>0</v>
      </c>
      <c r="AG4" s="607" t="s">
        <v>457</v>
      </c>
      <c r="AH4" s="606">
        <v>3.75</v>
      </c>
    </row>
    <row r="5" spans="2:34" ht="15" customHeight="1" x14ac:dyDescent="0.2">
      <c r="B5" s="610">
        <f t="shared" ref="B5:B15" si="0">SUM(B4+1)</f>
        <v>2</v>
      </c>
      <c r="C5" s="573"/>
      <c r="D5" s="593" t="s">
        <v>49</v>
      </c>
      <c r="E5" s="550">
        <v>0</v>
      </c>
      <c r="F5" s="550" t="s">
        <v>170</v>
      </c>
      <c r="G5" s="574"/>
      <c r="H5" s="552" t="s">
        <v>86</v>
      </c>
      <c r="I5" s="553">
        <v>208</v>
      </c>
      <c r="J5" s="575"/>
      <c r="K5" s="564" t="s">
        <v>65</v>
      </c>
      <c r="L5" s="553" t="s">
        <v>115</v>
      </c>
      <c r="M5" s="575"/>
      <c r="N5" s="550" t="s">
        <v>6</v>
      </c>
      <c r="O5" s="553">
        <v>0</v>
      </c>
      <c r="P5" s="550">
        <v>1</v>
      </c>
      <c r="Q5" s="574"/>
      <c r="R5" s="550" t="s">
        <v>18</v>
      </c>
      <c r="S5" s="550">
        <v>1</v>
      </c>
      <c r="T5" s="550" t="s">
        <v>196</v>
      </c>
      <c r="U5" s="574"/>
      <c r="V5" s="551" t="s">
        <v>28</v>
      </c>
      <c r="W5" s="553">
        <v>0</v>
      </c>
      <c r="X5" s="574"/>
      <c r="Y5" s="551" t="s">
        <v>224</v>
      </c>
      <c r="AA5" s="553">
        <v>15</v>
      </c>
      <c r="AB5" s="555"/>
      <c r="AC5" s="609" t="s">
        <v>373</v>
      </c>
      <c r="AD5" s="608">
        <v>12.5</v>
      </c>
      <c r="AE5" s="556" t="s">
        <v>85</v>
      </c>
      <c r="AF5" s="558">
        <v>0</v>
      </c>
      <c r="AG5" s="607" t="s">
        <v>458</v>
      </c>
      <c r="AH5" s="606">
        <v>3.75</v>
      </c>
    </row>
    <row r="6" spans="2:34" ht="15" customHeight="1" x14ac:dyDescent="0.2">
      <c r="B6" s="610">
        <f t="shared" si="0"/>
        <v>3</v>
      </c>
      <c r="C6" s="573"/>
      <c r="D6" s="593" t="s">
        <v>375</v>
      </c>
      <c r="E6" s="550">
        <v>0</v>
      </c>
      <c r="F6" s="599" t="s">
        <v>171</v>
      </c>
      <c r="G6" s="574"/>
      <c r="H6" s="552" t="s">
        <v>87</v>
      </c>
      <c r="I6" s="553">
        <v>208</v>
      </c>
      <c r="J6" s="575"/>
      <c r="K6" s="564"/>
      <c r="L6" s="611"/>
      <c r="M6" s="575"/>
      <c r="N6" s="550" t="s">
        <v>5</v>
      </c>
      <c r="O6" s="553">
        <v>0</v>
      </c>
      <c r="P6" s="550">
        <v>1</v>
      </c>
      <c r="Q6" s="574"/>
      <c r="R6" s="550" t="s">
        <v>19</v>
      </c>
      <c r="S6" s="550">
        <v>2</v>
      </c>
      <c r="T6" s="550" t="s">
        <v>199</v>
      </c>
      <c r="U6" s="574"/>
      <c r="V6" s="559" t="s">
        <v>88</v>
      </c>
      <c r="W6" s="553">
        <v>0</v>
      </c>
      <c r="X6" s="574"/>
      <c r="Y6" s="551" t="s">
        <v>220</v>
      </c>
      <c r="AA6" s="553">
        <v>18.5</v>
      </c>
      <c r="AB6" s="555"/>
      <c r="AC6" s="609" t="s">
        <v>372</v>
      </c>
      <c r="AD6" s="608">
        <v>18.5</v>
      </c>
      <c r="AG6" s="607" t="s">
        <v>459</v>
      </c>
      <c r="AH6" s="606">
        <v>3.75</v>
      </c>
    </row>
    <row r="7" spans="2:34" ht="15" customHeight="1" x14ac:dyDescent="0.2">
      <c r="B7" s="610">
        <f t="shared" si="0"/>
        <v>4</v>
      </c>
      <c r="C7" s="573"/>
      <c r="D7" s="550" t="s">
        <v>832</v>
      </c>
      <c r="E7" s="550">
        <v>0</v>
      </c>
      <c r="F7" s="599" t="s">
        <v>171</v>
      </c>
      <c r="G7" s="574"/>
      <c r="H7" s="552" t="s">
        <v>89</v>
      </c>
      <c r="I7" s="553">
        <v>208</v>
      </c>
      <c r="J7" s="575"/>
      <c r="K7" s="564"/>
      <c r="L7" s="564"/>
      <c r="M7" s="575"/>
      <c r="N7" s="550" t="s">
        <v>175</v>
      </c>
      <c r="O7" s="553">
        <v>54</v>
      </c>
      <c r="P7" s="550">
        <v>1</v>
      </c>
      <c r="Q7" s="574"/>
      <c r="R7" s="550" t="s">
        <v>20</v>
      </c>
      <c r="S7" s="550">
        <v>2</v>
      </c>
      <c r="T7" s="550" t="s">
        <v>197</v>
      </c>
      <c r="U7" s="574"/>
      <c r="V7" s="551" t="s">
        <v>37</v>
      </c>
      <c r="W7" s="553">
        <v>0</v>
      </c>
      <c r="X7" s="574"/>
      <c r="Y7" s="551" t="s">
        <v>482</v>
      </c>
      <c r="AA7" s="553">
        <v>11.5</v>
      </c>
      <c r="AB7" s="555"/>
      <c r="AC7" s="609" t="s">
        <v>201</v>
      </c>
      <c r="AD7" s="608">
        <v>22</v>
      </c>
      <c r="AG7" s="607" t="s">
        <v>460</v>
      </c>
      <c r="AH7" s="606">
        <v>3.75</v>
      </c>
    </row>
    <row r="8" spans="2:34" ht="15" customHeight="1" x14ac:dyDescent="0.2">
      <c r="B8" s="610">
        <f t="shared" si="0"/>
        <v>5</v>
      </c>
      <c r="C8" s="573"/>
      <c r="D8" s="638" t="s">
        <v>716</v>
      </c>
      <c r="E8" s="639">
        <v>0</v>
      </c>
      <c r="F8" s="550" t="s">
        <v>171</v>
      </c>
      <c r="G8" s="574"/>
      <c r="H8" s="552" t="s">
        <v>90</v>
      </c>
      <c r="I8" s="553">
        <v>208</v>
      </c>
      <c r="J8" s="575"/>
      <c r="K8" s="564"/>
      <c r="L8" s="564"/>
      <c r="M8" s="575"/>
      <c r="N8" s="550" t="s">
        <v>176</v>
      </c>
      <c r="O8" s="553">
        <v>54</v>
      </c>
      <c r="P8" s="550">
        <v>1</v>
      </c>
      <c r="Q8" s="574"/>
      <c r="R8" s="550" t="s">
        <v>21</v>
      </c>
      <c r="S8" s="550">
        <v>2</v>
      </c>
      <c r="T8" s="550" t="s">
        <v>198</v>
      </c>
      <c r="U8" s="574"/>
      <c r="V8" s="551" t="s">
        <v>57</v>
      </c>
      <c r="W8" s="553">
        <v>0</v>
      </c>
      <c r="X8" s="574"/>
      <c r="Y8" s="551" t="s">
        <v>225</v>
      </c>
      <c r="AA8" s="553">
        <v>11.5</v>
      </c>
      <c r="AB8" s="555"/>
      <c r="AC8" s="609" t="s">
        <v>848</v>
      </c>
      <c r="AD8" s="608">
        <v>8</v>
      </c>
      <c r="AG8" s="607" t="s">
        <v>461</v>
      </c>
      <c r="AH8" s="606">
        <v>3.75</v>
      </c>
    </row>
    <row r="9" spans="2:34" ht="15" customHeight="1" x14ac:dyDescent="0.2">
      <c r="B9" s="610">
        <f t="shared" si="0"/>
        <v>6</v>
      </c>
      <c r="C9" s="573"/>
      <c r="D9" s="550" t="s">
        <v>427</v>
      </c>
      <c r="E9" s="550">
        <v>0</v>
      </c>
      <c r="F9" s="599" t="s">
        <v>171</v>
      </c>
      <c r="G9" s="574"/>
      <c r="H9" s="552" t="s">
        <v>91</v>
      </c>
      <c r="I9" s="553">
        <v>208</v>
      </c>
      <c r="J9" s="575"/>
      <c r="K9" s="564"/>
      <c r="L9" s="564"/>
      <c r="M9" s="575"/>
      <c r="N9" s="550" t="s">
        <v>177</v>
      </c>
      <c r="O9" s="553">
        <v>54</v>
      </c>
      <c r="P9" s="550">
        <v>1</v>
      </c>
      <c r="Q9" s="574"/>
      <c r="R9" s="550" t="s">
        <v>288</v>
      </c>
      <c r="S9" s="550">
        <v>3</v>
      </c>
      <c r="T9" s="550" t="s">
        <v>200</v>
      </c>
      <c r="U9" s="574"/>
      <c r="V9" s="551" t="s">
        <v>47</v>
      </c>
      <c r="W9" s="553">
        <v>0</v>
      </c>
      <c r="X9" s="574"/>
      <c r="Y9" s="551" t="s">
        <v>226</v>
      </c>
      <c r="AA9" s="553">
        <v>15</v>
      </c>
      <c r="AB9" s="555"/>
      <c r="AC9" s="609" t="s">
        <v>849</v>
      </c>
      <c r="AD9" s="608">
        <v>12.5</v>
      </c>
      <c r="AG9" s="554" t="s">
        <v>469</v>
      </c>
      <c r="AH9" s="606">
        <v>3.75</v>
      </c>
    </row>
    <row r="10" spans="2:34" ht="15" customHeight="1" x14ac:dyDescent="0.2">
      <c r="B10" s="610">
        <f t="shared" si="0"/>
        <v>7</v>
      </c>
      <c r="C10" s="573"/>
      <c r="D10" s="550" t="s">
        <v>50</v>
      </c>
      <c r="E10" s="550">
        <v>0</v>
      </c>
      <c r="F10" s="599" t="s">
        <v>171</v>
      </c>
      <c r="G10" s="574"/>
      <c r="H10" s="552" t="s">
        <v>92</v>
      </c>
      <c r="I10" s="553">
        <v>208</v>
      </c>
      <c r="J10" s="575"/>
      <c r="K10" s="564"/>
      <c r="L10" s="564"/>
      <c r="M10" s="575"/>
      <c r="N10" s="550" t="s">
        <v>183</v>
      </c>
      <c r="O10" s="553">
        <v>68</v>
      </c>
      <c r="P10" s="550">
        <v>1</v>
      </c>
      <c r="Q10" s="574"/>
      <c r="R10" s="550" t="s">
        <v>289</v>
      </c>
      <c r="S10" s="550">
        <v>3</v>
      </c>
      <c r="T10" s="638" t="s">
        <v>492</v>
      </c>
      <c r="U10" s="574"/>
      <c r="V10" s="551" t="s">
        <v>334</v>
      </c>
      <c r="W10" s="553">
        <v>0</v>
      </c>
      <c r="X10" s="574"/>
      <c r="Y10" s="551" t="s">
        <v>227</v>
      </c>
      <c r="AA10" s="553">
        <v>18.5</v>
      </c>
      <c r="AB10" s="555"/>
      <c r="AC10" s="609" t="s">
        <v>231</v>
      </c>
      <c r="AD10" s="608">
        <v>30</v>
      </c>
      <c r="AG10" s="554" t="s">
        <v>470</v>
      </c>
      <c r="AH10" s="606">
        <v>3.75</v>
      </c>
    </row>
    <row r="11" spans="2:34" ht="15" customHeight="1" x14ac:dyDescent="0.2">
      <c r="B11" s="610">
        <f t="shared" si="0"/>
        <v>8</v>
      </c>
      <c r="C11" s="573"/>
      <c r="D11" s="550" t="s">
        <v>75</v>
      </c>
      <c r="E11" s="550">
        <v>0</v>
      </c>
      <c r="F11" s="599" t="s">
        <v>171</v>
      </c>
      <c r="G11" s="574"/>
      <c r="H11" s="552" t="s">
        <v>93</v>
      </c>
      <c r="I11" s="553">
        <v>208</v>
      </c>
      <c r="J11" s="575"/>
      <c r="K11" s="564"/>
      <c r="L11" s="564"/>
      <c r="M11" s="575"/>
      <c r="N11" s="550" t="s">
        <v>182</v>
      </c>
      <c r="O11" s="553">
        <v>68</v>
      </c>
      <c r="P11" s="550">
        <v>1</v>
      </c>
      <c r="Q11" s="574"/>
      <c r="R11" s="550" t="s">
        <v>22</v>
      </c>
      <c r="S11" s="550">
        <v>3</v>
      </c>
      <c r="T11" s="638" t="s">
        <v>493</v>
      </c>
      <c r="U11" s="574"/>
      <c r="V11" s="551" t="s">
        <v>333</v>
      </c>
      <c r="W11" s="553">
        <v>5.5</v>
      </c>
      <c r="X11" s="574"/>
      <c r="Y11" s="551" t="s">
        <v>273</v>
      </c>
      <c r="AA11" s="553">
        <v>12.5</v>
      </c>
      <c r="AB11" s="555"/>
      <c r="AC11" s="609" t="s">
        <v>232</v>
      </c>
      <c r="AD11" s="608">
        <v>18.5</v>
      </c>
      <c r="AG11" s="607" t="s">
        <v>462</v>
      </c>
      <c r="AH11" s="606">
        <v>3.75</v>
      </c>
    </row>
    <row r="12" spans="2:34" ht="15" customHeight="1" x14ac:dyDescent="0.2">
      <c r="B12" s="610">
        <f t="shared" si="0"/>
        <v>9</v>
      </c>
      <c r="C12" s="573"/>
      <c r="D12" s="550" t="s">
        <v>312</v>
      </c>
      <c r="E12" s="550">
        <v>19</v>
      </c>
      <c r="F12" s="550" t="s">
        <v>169</v>
      </c>
      <c r="G12" s="574"/>
      <c r="H12" s="552" t="s">
        <v>94</v>
      </c>
      <c r="I12" s="553">
        <v>208</v>
      </c>
      <c r="J12" s="575"/>
      <c r="K12" s="564"/>
      <c r="L12" s="564"/>
      <c r="M12" s="575"/>
      <c r="N12" s="550" t="s">
        <v>184</v>
      </c>
      <c r="O12" s="553">
        <v>68</v>
      </c>
      <c r="P12" s="550">
        <v>1</v>
      </c>
      <c r="Q12" s="574"/>
      <c r="R12" s="550" t="s">
        <v>23</v>
      </c>
      <c r="S12" s="550">
        <v>3</v>
      </c>
      <c r="T12" s="654" t="s">
        <v>494</v>
      </c>
      <c r="U12" s="574"/>
      <c r="V12" s="551" t="s">
        <v>58</v>
      </c>
      <c r="W12" s="553">
        <v>11</v>
      </c>
      <c r="X12" s="574"/>
      <c r="Y12" s="551" t="s">
        <v>828</v>
      </c>
      <c r="AA12" s="553">
        <v>16</v>
      </c>
      <c r="AB12" s="555"/>
      <c r="AC12" s="609" t="s">
        <v>233</v>
      </c>
      <c r="AD12" s="608">
        <v>24</v>
      </c>
      <c r="AG12" s="607" t="s">
        <v>463</v>
      </c>
      <c r="AH12" s="606">
        <v>3.75</v>
      </c>
    </row>
    <row r="13" spans="2:34" ht="15" customHeight="1" x14ac:dyDescent="0.2">
      <c r="B13" s="610">
        <f t="shared" si="0"/>
        <v>10</v>
      </c>
      <c r="C13" s="573"/>
      <c r="D13" s="550" t="s">
        <v>313</v>
      </c>
      <c r="E13" s="550">
        <v>19</v>
      </c>
      <c r="F13" s="550" t="s">
        <v>169</v>
      </c>
      <c r="G13" s="574"/>
      <c r="H13" s="552" t="s">
        <v>95</v>
      </c>
      <c r="I13" s="553">
        <v>208</v>
      </c>
      <c r="J13" s="575"/>
      <c r="K13" s="564"/>
      <c r="L13" s="564"/>
      <c r="M13" s="575"/>
      <c r="N13" s="550" t="s">
        <v>185</v>
      </c>
      <c r="O13" s="553">
        <v>87</v>
      </c>
      <c r="P13" s="550">
        <v>1</v>
      </c>
      <c r="Q13" s="574"/>
      <c r="R13" s="550" t="s">
        <v>32</v>
      </c>
      <c r="S13" s="550">
        <v>4</v>
      </c>
      <c r="T13" s="550"/>
      <c r="U13" s="574"/>
      <c r="V13" s="551"/>
      <c r="W13" s="550"/>
      <c r="X13" s="574"/>
      <c r="Y13" s="551" t="s">
        <v>212</v>
      </c>
      <c r="AA13" s="553">
        <v>15</v>
      </c>
      <c r="AB13" s="555"/>
      <c r="AC13" s="609" t="s">
        <v>330</v>
      </c>
      <c r="AD13" s="608">
        <v>24</v>
      </c>
      <c r="AG13" s="607" t="s">
        <v>241</v>
      </c>
      <c r="AH13" s="606">
        <v>3.75</v>
      </c>
    </row>
    <row r="14" spans="2:34" ht="15" customHeight="1" thickBot="1" x14ac:dyDescent="0.25">
      <c r="B14" s="610">
        <f t="shared" si="0"/>
        <v>11</v>
      </c>
      <c r="C14" s="573"/>
      <c r="D14" s="550" t="s">
        <v>833</v>
      </c>
      <c r="E14" s="550">
        <v>19</v>
      </c>
      <c r="F14" s="550" t="s">
        <v>169</v>
      </c>
      <c r="G14" s="574"/>
      <c r="H14" s="552" t="s">
        <v>96</v>
      </c>
      <c r="I14" s="553">
        <v>208</v>
      </c>
      <c r="J14" s="575"/>
      <c r="K14" s="564"/>
      <c r="L14" s="564"/>
      <c r="M14" s="575"/>
      <c r="N14" s="550" t="s">
        <v>186</v>
      </c>
      <c r="O14" s="553">
        <v>87</v>
      </c>
      <c r="P14" s="550">
        <v>1</v>
      </c>
      <c r="Q14" s="574"/>
      <c r="R14" s="550" t="s">
        <v>24</v>
      </c>
      <c r="S14" s="550">
        <v>4</v>
      </c>
      <c r="T14" s="550"/>
      <c r="U14" s="574"/>
      <c r="V14" s="551"/>
      <c r="W14" s="550"/>
      <c r="X14" s="574"/>
      <c r="Y14" s="551" t="s">
        <v>221</v>
      </c>
      <c r="AA14" s="553">
        <v>18.5</v>
      </c>
      <c r="AB14" s="550"/>
      <c r="AC14" s="609" t="s">
        <v>234</v>
      </c>
      <c r="AD14" s="608">
        <v>15</v>
      </c>
      <c r="AG14" s="607" t="s">
        <v>240</v>
      </c>
      <c r="AH14" s="606">
        <v>7</v>
      </c>
    </row>
    <row r="15" spans="2:34" ht="15" customHeight="1" x14ac:dyDescent="0.2">
      <c r="B15" s="610">
        <f t="shared" si="0"/>
        <v>12</v>
      </c>
      <c r="C15" s="573"/>
      <c r="D15" s="550" t="s">
        <v>834</v>
      </c>
      <c r="E15" s="550">
        <v>19</v>
      </c>
      <c r="F15" s="550" t="s">
        <v>169</v>
      </c>
      <c r="G15" s="574"/>
      <c r="H15" s="552" t="s">
        <v>97</v>
      </c>
      <c r="I15" s="553">
        <v>208</v>
      </c>
      <c r="J15" s="575"/>
      <c r="K15" s="564"/>
      <c r="L15" s="564"/>
      <c r="M15" s="575"/>
      <c r="N15" s="550" t="s">
        <v>187</v>
      </c>
      <c r="O15" s="553">
        <v>87</v>
      </c>
      <c r="P15" s="550">
        <v>1</v>
      </c>
      <c r="Q15" s="574"/>
      <c r="R15" s="550" t="s">
        <v>33</v>
      </c>
      <c r="S15" s="550">
        <v>4</v>
      </c>
      <c r="T15" s="542" t="s">
        <v>307</v>
      </c>
      <c r="U15" s="574"/>
      <c r="V15" s="551"/>
      <c r="W15" s="550"/>
      <c r="X15" s="574"/>
      <c r="Y15" s="551" t="s">
        <v>830</v>
      </c>
      <c r="AA15" s="553">
        <v>22</v>
      </c>
      <c r="AB15" s="550"/>
      <c r="AC15" s="609" t="s">
        <v>436</v>
      </c>
      <c r="AD15" s="608">
        <v>15</v>
      </c>
      <c r="AG15" s="607" t="s">
        <v>464</v>
      </c>
      <c r="AH15" s="606">
        <v>7</v>
      </c>
    </row>
    <row r="16" spans="2:34" ht="15" customHeight="1" x14ac:dyDescent="0.2">
      <c r="C16" s="573"/>
      <c r="D16" s="550" t="s">
        <v>718</v>
      </c>
      <c r="E16" s="550">
        <v>19</v>
      </c>
      <c r="F16" s="550" t="s">
        <v>169</v>
      </c>
      <c r="G16" s="574"/>
      <c r="H16" s="552" t="s">
        <v>98</v>
      </c>
      <c r="I16" s="553">
        <v>208</v>
      </c>
      <c r="J16" s="575"/>
      <c r="K16" s="564"/>
      <c r="L16" s="564"/>
      <c r="M16" s="575"/>
      <c r="N16" s="550" t="s">
        <v>342</v>
      </c>
      <c r="O16" s="553">
        <v>54</v>
      </c>
      <c r="P16" s="550">
        <v>1</v>
      </c>
      <c r="Q16" s="574"/>
      <c r="R16" s="550" t="s">
        <v>134</v>
      </c>
      <c r="S16" s="550">
        <v>4</v>
      </c>
      <c r="T16" s="550" t="s">
        <v>195</v>
      </c>
      <c r="U16" s="574"/>
      <c r="V16" s="551"/>
      <c r="W16" s="550"/>
      <c r="X16" s="574"/>
      <c r="Y16" s="551" t="s">
        <v>230</v>
      </c>
      <c r="AA16" s="553">
        <v>9</v>
      </c>
      <c r="AB16" s="550"/>
      <c r="AC16" s="609" t="s">
        <v>498</v>
      </c>
      <c r="AD16" s="608">
        <v>21.5</v>
      </c>
      <c r="AG16" s="607" t="s">
        <v>465</v>
      </c>
      <c r="AH16" s="606">
        <v>7</v>
      </c>
    </row>
    <row r="17" spans="3:34" ht="15" customHeight="1" x14ac:dyDescent="0.2">
      <c r="C17" s="573"/>
      <c r="D17" s="550" t="s">
        <v>719</v>
      </c>
      <c r="E17" s="550">
        <v>19</v>
      </c>
      <c r="F17" s="550" t="s">
        <v>169</v>
      </c>
      <c r="G17" s="574"/>
      <c r="H17" s="552" t="s">
        <v>99</v>
      </c>
      <c r="I17" s="553">
        <v>208</v>
      </c>
      <c r="J17" s="575"/>
      <c r="K17" s="564"/>
      <c r="L17" s="564"/>
      <c r="M17" s="575"/>
      <c r="N17" s="550" t="s">
        <v>343</v>
      </c>
      <c r="O17" s="553">
        <v>54</v>
      </c>
      <c r="P17" s="550">
        <v>1</v>
      </c>
      <c r="Q17" s="574"/>
      <c r="R17" s="550" t="s">
        <v>135</v>
      </c>
      <c r="S17" s="550">
        <v>4</v>
      </c>
      <c r="T17" s="550" t="s">
        <v>196</v>
      </c>
      <c r="U17" s="574"/>
      <c r="V17" s="551"/>
      <c r="W17" s="550"/>
      <c r="X17" s="574"/>
      <c r="Y17" s="551" t="s">
        <v>370</v>
      </c>
      <c r="AA17" s="553">
        <v>14</v>
      </c>
      <c r="AB17" s="550"/>
      <c r="AC17" s="609" t="s">
        <v>847</v>
      </c>
      <c r="AD17" s="608">
        <v>21.5</v>
      </c>
      <c r="AG17" s="606" t="s">
        <v>239</v>
      </c>
      <c r="AH17" s="606">
        <v>7475</v>
      </c>
    </row>
    <row r="18" spans="3:34" ht="15" customHeight="1" x14ac:dyDescent="0.2">
      <c r="C18" s="573"/>
      <c r="D18" s="550" t="s">
        <v>322</v>
      </c>
      <c r="E18" s="550">
        <v>19</v>
      </c>
      <c r="F18" s="550" t="s">
        <v>169</v>
      </c>
      <c r="G18" s="574"/>
      <c r="H18" s="552" t="s">
        <v>385</v>
      </c>
      <c r="I18" s="553">
        <v>208</v>
      </c>
      <c r="J18" s="575"/>
      <c r="K18" s="564"/>
      <c r="L18" s="564"/>
      <c r="M18" s="575"/>
      <c r="N18" s="550" t="s">
        <v>344</v>
      </c>
      <c r="O18" s="553">
        <v>54</v>
      </c>
      <c r="P18" s="550">
        <v>1</v>
      </c>
      <c r="Q18" s="574"/>
      <c r="R18" s="550" t="s">
        <v>124</v>
      </c>
      <c r="S18" s="550">
        <v>5</v>
      </c>
      <c r="T18" s="550" t="s">
        <v>197</v>
      </c>
      <c r="U18" s="574"/>
      <c r="V18" s="551"/>
      <c r="W18" s="550"/>
      <c r="X18" s="574"/>
      <c r="Y18" s="551" t="s">
        <v>371</v>
      </c>
      <c r="AA18" s="553">
        <v>17</v>
      </c>
      <c r="AB18" s="550"/>
      <c r="AC18" s="572"/>
      <c r="AG18" s="606" t="s">
        <v>467</v>
      </c>
      <c r="AH18" s="606">
        <v>4</v>
      </c>
    </row>
    <row r="19" spans="3:34" ht="15" customHeight="1" x14ac:dyDescent="0.2">
      <c r="C19" s="573"/>
      <c r="D19" s="550" t="s">
        <v>323</v>
      </c>
      <c r="E19" s="550">
        <v>19</v>
      </c>
      <c r="F19" s="550" t="s">
        <v>169</v>
      </c>
      <c r="G19" s="574"/>
      <c r="H19" s="552" t="s">
        <v>441</v>
      </c>
      <c r="I19" s="553">
        <v>208</v>
      </c>
      <c r="J19" s="575"/>
      <c r="K19" s="564"/>
      <c r="L19" s="564"/>
      <c r="M19" s="575"/>
      <c r="N19" s="550" t="s">
        <v>616</v>
      </c>
      <c r="O19" s="276" t="s">
        <v>115</v>
      </c>
      <c r="P19" s="550">
        <v>1</v>
      </c>
      <c r="Q19" s="574"/>
      <c r="R19" s="550" t="s">
        <v>34</v>
      </c>
      <c r="S19" s="550">
        <v>5</v>
      </c>
      <c r="T19" s="550" t="s">
        <v>198</v>
      </c>
      <c r="U19" s="574"/>
      <c r="V19" s="551"/>
      <c r="W19" s="550"/>
      <c r="X19" s="574"/>
      <c r="Y19" s="551" t="s">
        <v>216</v>
      </c>
      <c r="AA19" s="553">
        <v>21</v>
      </c>
      <c r="AB19" s="550"/>
      <c r="AC19" s="572"/>
      <c r="AG19" s="606" t="s">
        <v>483</v>
      </c>
      <c r="AH19" s="606">
        <v>7</v>
      </c>
    </row>
    <row r="20" spans="3:34" ht="15" customHeight="1" x14ac:dyDescent="0.2">
      <c r="C20" s="573"/>
      <c r="D20" s="550" t="s">
        <v>314</v>
      </c>
      <c r="E20" s="550">
        <v>19</v>
      </c>
      <c r="F20" s="550" t="s">
        <v>169</v>
      </c>
      <c r="G20" s="574"/>
      <c r="H20" s="552" t="s">
        <v>442</v>
      </c>
      <c r="I20" s="553">
        <v>208</v>
      </c>
      <c r="J20" s="575"/>
      <c r="K20" s="564"/>
      <c r="L20" s="564"/>
      <c r="M20" s="575"/>
      <c r="N20" s="550" t="s">
        <v>617</v>
      </c>
      <c r="O20" s="276" t="s">
        <v>115</v>
      </c>
      <c r="P20" s="550"/>
      <c r="Q20" s="574"/>
      <c r="R20" s="550" t="s">
        <v>35</v>
      </c>
      <c r="S20" s="550">
        <v>5</v>
      </c>
      <c r="T20" s="638" t="s">
        <v>492</v>
      </c>
      <c r="U20" s="574"/>
      <c r="V20" s="551"/>
      <c r="W20" s="550"/>
      <c r="X20" s="574"/>
      <c r="Y20" s="560" t="s">
        <v>228</v>
      </c>
      <c r="AA20" s="553">
        <v>11.5</v>
      </c>
      <c r="AB20" s="550"/>
      <c r="AC20" s="572"/>
      <c r="AG20" s="606" t="s">
        <v>437</v>
      </c>
      <c r="AH20" s="606">
        <v>3.75</v>
      </c>
    </row>
    <row r="21" spans="3:34" ht="15" customHeight="1" x14ac:dyDescent="0.2">
      <c r="C21" s="573"/>
      <c r="D21" s="550" t="s">
        <v>315</v>
      </c>
      <c r="E21" s="550">
        <v>19</v>
      </c>
      <c r="F21" s="550" t="s">
        <v>169</v>
      </c>
      <c r="G21" s="574"/>
      <c r="H21" s="552" t="s">
        <v>443</v>
      </c>
      <c r="I21" s="553">
        <v>208</v>
      </c>
      <c r="J21" s="575"/>
      <c r="K21" s="564"/>
      <c r="L21" s="564"/>
      <c r="M21" s="575"/>
      <c r="N21" s="550" t="s">
        <v>644</v>
      </c>
      <c r="O21" s="276" t="s">
        <v>115</v>
      </c>
      <c r="P21" s="550"/>
      <c r="Q21" s="574"/>
      <c r="R21" s="550" t="s">
        <v>125</v>
      </c>
      <c r="S21" s="550">
        <v>5</v>
      </c>
      <c r="T21" s="638" t="s">
        <v>493</v>
      </c>
      <c r="U21" s="574"/>
      <c r="V21" s="551"/>
      <c r="W21" s="550"/>
      <c r="X21" s="574"/>
      <c r="Y21" s="551" t="s">
        <v>229</v>
      </c>
      <c r="AA21" s="553">
        <v>15</v>
      </c>
      <c r="AB21" s="550"/>
      <c r="AC21" s="572"/>
      <c r="AG21" s="606" t="s">
        <v>244</v>
      </c>
      <c r="AH21" s="606">
        <v>7475</v>
      </c>
    </row>
    <row r="22" spans="3:34" ht="15" customHeight="1" thickBot="1" x14ac:dyDescent="0.25">
      <c r="C22" s="573"/>
      <c r="D22" s="550" t="s">
        <v>316</v>
      </c>
      <c r="E22" s="550">
        <v>19</v>
      </c>
      <c r="F22" s="550" t="s">
        <v>169</v>
      </c>
      <c r="G22" s="574"/>
      <c r="H22" s="552" t="s">
        <v>444</v>
      </c>
      <c r="I22" s="553">
        <v>208</v>
      </c>
      <c r="J22" s="575"/>
      <c r="K22" s="550"/>
      <c r="L22" s="550"/>
      <c r="M22" s="574"/>
      <c r="N22" s="550" t="s">
        <v>618</v>
      </c>
      <c r="O22" s="276" t="s">
        <v>115</v>
      </c>
      <c r="P22" s="550"/>
      <c r="Q22" s="574"/>
      <c r="R22" s="550" t="s">
        <v>124</v>
      </c>
      <c r="S22" s="550">
        <v>5</v>
      </c>
      <c r="T22" s="550"/>
      <c r="U22" s="574"/>
      <c r="V22" s="551"/>
      <c r="W22" s="550"/>
      <c r="X22" s="574"/>
      <c r="Y22" s="551" t="s">
        <v>211</v>
      </c>
      <c r="AA22" s="553">
        <v>18.5</v>
      </c>
      <c r="AB22" s="550"/>
      <c r="AC22" s="572"/>
    </row>
    <row r="23" spans="3:34" ht="15" customHeight="1" x14ac:dyDescent="0.2">
      <c r="C23" s="573"/>
      <c r="D23" s="550" t="s">
        <v>317</v>
      </c>
      <c r="E23" s="550">
        <v>19</v>
      </c>
      <c r="F23" s="550" t="s">
        <v>169</v>
      </c>
      <c r="G23" s="574"/>
      <c r="H23" s="552" t="s">
        <v>445</v>
      </c>
      <c r="I23" s="553">
        <v>208</v>
      </c>
      <c r="J23" s="575"/>
      <c r="K23" s="550"/>
      <c r="L23" s="550"/>
      <c r="M23" s="574"/>
      <c r="N23" s="550" t="s">
        <v>619</v>
      </c>
      <c r="O23" s="276" t="s">
        <v>115</v>
      </c>
      <c r="P23" s="550"/>
      <c r="Q23" s="574"/>
      <c r="R23" s="550" t="s">
        <v>126</v>
      </c>
      <c r="S23" s="550">
        <v>6</v>
      </c>
      <c r="T23" s="542" t="s">
        <v>308</v>
      </c>
      <c r="U23" s="574"/>
      <c r="V23" s="551"/>
      <c r="W23" s="550"/>
      <c r="X23" s="574"/>
      <c r="Y23" s="551" t="s">
        <v>831</v>
      </c>
      <c r="AA23" s="553">
        <v>15</v>
      </c>
      <c r="AB23" s="550"/>
      <c r="AC23" s="572"/>
    </row>
    <row r="24" spans="3:34" ht="15" customHeight="1" x14ac:dyDescent="0.2">
      <c r="C24" s="573"/>
      <c r="D24" s="550" t="s">
        <v>835</v>
      </c>
      <c r="E24" s="550">
        <v>19</v>
      </c>
      <c r="F24" s="550" t="s">
        <v>169</v>
      </c>
      <c r="G24" s="574"/>
      <c r="H24" s="552" t="s">
        <v>446</v>
      </c>
      <c r="I24" s="553">
        <v>208</v>
      </c>
      <c r="J24" s="575"/>
      <c r="K24" s="550"/>
      <c r="L24" s="550"/>
      <c r="M24" s="574"/>
      <c r="N24" s="550" t="s">
        <v>620</v>
      </c>
      <c r="O24" s="276" t="s">
        <v>115</v>
      </c>
      <c r="P24" s="550"/>
      <c r="Q24" s="574"/>
      <c r="R24" s="550" t="s">
        <v>36</v>
      </c>
      <c r="S24" s="550">
        <v>6</v>
      </c>
      <c r="T24" s="550" t="s">
        <v>492</v>
      </c>
      <c r="U24" s="574"/>
      <c r="V24" s="551"/>
      <c r="W24" s="550"/>
      <c r="X24" s="574"/>
      <c r="Y24" s="551" t="s">
        <v>829</v>
      </c>
      <c r="AA24" s="553">
        <v>22</v>
      </c>
      <c r="AB24" s="550"/>
      <c r="AC24" s="572"/>
    </row>
    <row r="25" spans="3:34" ht="15" customHeight="1" x14ac:dyDescent="0.2">
      <c r="C25" s="573"/>
      <c r="D25" s="550" t="s">
        <v>836</v>
      </c>
      <c r="E25" s="550">
        <v>19</v>
      </c>
      <c r="F25" s="550" t="s">
        <v>169</v>
      </c>
      <c r="G25" s="574"/>
      <c r="H25" s="552" t="s">
        <v>447</v>
      </c>
      <c r="I25" s="553">
        <v>208</v>
      </c>
      <c r="J25" s="575"/>
      <c r="K25" s="550"/>
      <c r="L25" s="550"/>
      <c r="M25" s="574"/>
      <c r="N25" s="550" t="s">
        <v>621</v>
      </c>
      <c r="O25" s="276" t="s">
        <v>115</v>
      </c>
      <c r="P25" s="550"/>
      <c r="Q25" s="574"/>
      <c r="R25" s="550" t="s">
        <v>127</v>
      </c>
      <c r="S25" s="550">
        <v>6</v>
      </c>
      <c r="T25" s="550" t="s">
        <v>493</v>
      </c>
      <c r="U25" s="574"/>
      <c r="V25" s="551"/>
      <c r="W25" s="550"/>
      <c r="X25" s="574"/>
      <c r="Y25" s="561" t="s">
        <v>222</v>
      </c>
      <c r="AA25" s="605">
        <v>15</v>
      </c>
      <c r="AB25" s="604"/>
      <c r="AC25" s="572"/>
    </row>
    <row r="26" spans="3:34" ht="15" customHeight="1" thickBot="1" x14ac:dyDescent="0.25">
      <c r="C26" s="573"/>
      <c r="D26" s="550" t="s">
        <v>720</v>
      </c>
      <c r="E26" s="550">
        <v>19</v>
      </c>
      <c r="F26" s="550" t="s">
        <v>169</v>
      </c>
      <c r="G26" s="574"/>
      <c r="H26" s="552" t="s">
        <v>448</v>
      </c>
      <c r="I26" s="553">
        <v>208</v>
      </c>
      <c r="J26" s="575"/>
      <c r="K26" s="550"/>
      <c r="L26" s="550"/>
      <c r="M26" s="574"/>
      <c r="N26" s="550" t="s">
        <v>622</v>
      </c>
      <c r="O26" s="276" t="s">
        <v>115</v>
      </c>
      <c r="P26" s="550"/>
      <c r="Q26" s="574"/>
      <c r="R26" s="550" t="s">
        <v>128</v>
      </c>
      <c r="S26" s="550">
        <v>7</v>
      </c>
      <c r="T26" s="550"/>
      <c r="U26" s="574"/>
      <c r="V26" s="551"/>
      <c r="W26" s="550"/>
      <c r="X26" s="574"/>
      <c r="Y26" s="562" t="s">
        <v>354</v>
      </c>
      <c r="Z26" s="563"/>
      <c r="AA26" s="603">
        <v>18.5</v>
      </c>
      <c r="AB26" s="602">
        <v>70</v>
      </c>
      <c r="AC26" s="572"/>
    </row>
    <row r="27" spans="3:34" ht="15" customHeight="1" x14ac:dyDescent="0.2">
      <c r="C27" s="573"/>
      <c r="D27" s="550" t="s">
        <v>721</v>
      </c>
      <c r="E27" s="550">
        <v>19</v>
      </c>
      <c r="F27" s="550" t="s">
        <v>169</v>
      </c>
      <c r="G27" s="574"/>
      <c r="H27" s="552" t="s">
        <v>449</v>
      </c>
      <c r="I27" s="553">
        <v>208</v>
      </c>
      <c r="J27" s="575"/>
      <c r="K27" s="550"/>
      <c r="L27" s="550"/>
      <c r="M27" s="574"/>
      <c r="N27" s="550" t="s">
        <v>623</v>
      </c>
      <c r="O27" s="276" t="s">
        <v>115</v>
      </c>
      <c r="P27" s="550"/>
      <c r="Q27" s="574"/>
      <c r="R27" s="550" t="s">
        <v>129</v>
      </c>
      <c r="S27" s="550">
        <v>7</v>
      </c>
      <c r="T27" s="625" t="s">
        <v>529</v>
      </c>
      <c r="U27" s="574"/>
      <c r="V27" s="551"/>
      <c r="W27" s="550"/>
      <c r="X27" s="574"/>
      <c r="Y27" s="562" t="s">
        <v>355</v>
      </c>
      <c r="Z27" s="563"/>
      <c r="AA27" s="603">
        <v>18.5</v>
      </c>
      <c r="AB27" s="602">
        <v>70</v>
      </c>
      <c r="AC27" s="572"/>
    </row>
    <row r="28" spans="3:34" ht="15" customHeight="1" x14ac:dyDescent="0.2">
      <c r="C28" s="573"/>
      <c r="D28" s="550" t="s">
        <v>318</v>
      </c>
      <c r="E28" s="550">
        <v>19</v>
      </c>
      <c r="F28" s="550" t="s">
        <v>169</v>
      </c>
      <c r="G28" s="574"/>
      <c r="H28" s="552" t="s">
        <v>450</v>
      </c>
      <c r="I28" s="553">
        <v>208</v>
      </c>
      <c r="J28" s="575"/>
      <c r="K28" s="550"/>
      <c r="L28" s="550"/>
      <c r="M28" s="574"/>
      <c r="N28" s="550" t="s">
        <v>624</v>
      </c>
      <c r="O28" s="276" t="s">
        <v>115</v>
      </c>
      <c r="P28" s="550"/>
      <c r="Q28" s="574"/>
      <c r="R28" s="550" t="s">
        <v>130</v>
      </c>
      <c r="S28" s="550">
        <v>8</v>
      </c>
      <c r="T28" s="639" t="s">
        <v>195</v>
      </c>
      <c r="U28" s="574"/>
      <c r="V28" s="551"/>
      <c r="W28" s="550"/>
      <c r="X28" s="574"/>
      <c r="Y28" s="565" t="s">
        <v>356</v>
      </c>
      <c r="Z28" s="566"/>
      <c r="AA28" s="553">
        <v>18.5</v>
      </c>
      <c r="AB28" s="600">
        <v>70</v>
      </c>
      <c r="AC28" s="572"/>
    </row>
    <row r="29" spans="3:34" ht="15" customHeight="1" thickBot="1" x14ac:dyDescent="0.25">
      <c r="C29" s="573"/>
      <c r="D29" s="550" t="s">
        <v>319</v>
      </c>
      <c r="E29" s="550">
        <v>19</v>
      </c>
      <c r="F29" s="550" t="s">
        <v>169</v>
      </c>
      <c r="G29" s="574"/>
      <c r="H29" s="552" t="s">
        <v>451</v>
      </c>
      <c r="I29" s="553">
        <v>208</v>
      </c>
      <c r="J29" s="575"/>
      <c r="K29" s="550"/>
      <c r="L29" s="550"/>
      <c r="M29" s="574"/>
      <c r="N29" s="550" t="s">
        <v>648</v>
      </c>
      <c r="O29" s="276" t="s">
        <v>115</v>
      </c>
      <c r="P29" s="550"/>
      <c r="Q29" s="574"/>
      <c r="R29" s="550"/>
      <c r="S29" s="550"/>
      <c r="T29" s="639" t="s">
        <v>197</v>
      </c>
      <c r="U29" s="574"/>
      <c r="V29" s="551"/>
      <c r="W29" s="550"/>
      <c r="X29" s="574"/>
      <c r="Y29" s="565" t="s">
        <v>357</v>
      </c>
      <c r="Z29" s="566"/>
      <c r="AA29" s="553">
        <v>18.5</v>
      </c>
      <c r="AB29" s="600">
        <v>70</v>
      </c>
      <c r="AC29" s="572"/>
    </row>
    <row r="30" spans="3:34" ht="15" customHeight="1" x14ac:dyDescent="0.2">
      <c r="C30" s="573"/>
      <c r="D30" s="550" t="s">
        <v>320</v>
      </c>
      <c r="E30" s="550">
        <v>19</v>
      </c>
      <c r="F30" s="550" t="s">
        <v>169</v>
      </c>
      <c r="G30" s="574"/>
      <c r="H30" s="552" t="s">
        <v>452</v>
      </c>
      <c r="I30" s="553">
        <v>208</v>
      </c>
      <c r="J30" s="575"/>
      <c r="K30" s="550"/>
      <c r="L30" s="550"/>
      <c r="M30" s="574"/>
      <c r="N30" s="550" t="s">
        <v>626</v>
      </c>
      <c r="O30" s="276" t="s">
        <v>115</v>
      </c>
      <c r="P30" s="550"/>
      <c r="Q30" s="574"/>
      <c r="R30" s="542" t="s">
        <v>345</v>
      </c>
      <c r="S30" s="542"/>
      <c r="T30" s="639" t="s">
        <v>492</v>
      </c>
      <c r="U30" s="574"/>
      <c r="V30" s="551"/>
      <c r="W30" s="550"/>
      <c r="X30" s="601"/>
      <c r="Y30" s="565" t="s">
        <v>358</v>
      </c>
      <c r="Z30" s="566"/>
      <c r="AA30" s="553">
        <v>18.5</v>
      </c>
      <c r="AB30" s="600">
        <v>70</v>
      </c>
      <c r="AC30" s="572"/>
    </row>
    <row r="31" spans="3:34" ht="15" customHeight="1" x14ac:dyDescent="0.2">
      <c r="C31" s="573"/>
      <c r="D31" s="550" t="s">
        <v>321</v>
      </c>
      <c r="E31" s="550">
        <v>19</v>
      </c>
      <c r="F31" s="550" t="s">
        <v>169</v>
      </c>
      <c r="G31" s="574"/>
      <c r="H31" s="552" t="s">
        <v>453</v>
      </c>
      <c r="I31" s="553">
        <v>208</v>
      </c>
      <c r="J31" s="575"/>
      <c r="K31" s="550"/>
      <c r="L31" s="550"/>
      <c r="M31" s="574"/>
      <c r="N31" s="550" t="s">
        <v>627</v>
      </c>
      <c r="O31" s="276" t="s">
        <v>115</v>
      </c>
      <c r="P31" s="550"/>
      <c r="Q31" s="574"/>
      <c r="R31" s="550" t="s">
        <v>346</v>
      </c>
      <c r="S31" s="550">
        <v>4</v>
      </c>
      <c r="T31" s="550"/>
      <c r="U31" s="574"/>
      <c r="V31" s="551"/>
      <c r="W31" s="550"/>
      <c r="X31" s="601"/>
      <c r="Y31" s="565" t="s">
        <v>359</v>
      </c>
      <c r="Z31" s="566"/>
      <c r="AA31" s="553">
        <v>18.5</v>
      </c>
      <c r="AB31" s="600">
        <v>70</v>
      </c>
      <c r="AC31" s="572"/>
    </row>
    <row r="32" spans="3:34" ht="15" customHeight="1" x14ac:dyDescent="0.2">
      <c r="C32" s="573"/>
      <c r="D32" s="550" t="s">
        <v>466</v>
      </c>
      <c r="E32" s="553">
        <f>236-I3</f>
        <v>28</v>
      </c>
      <c r="F32" s="550" t="s">
        <v>170</v>
      </c>
      <c r="G32" s="574"/>
      <c r="H32" s="552" t="s">
        <v>100</v>
      </c>
      <c r="I32" s="553">
        <v>208</v>
      </c>
      <c r="J32" s="575"/>
      <c r="K32" s="550"/>
      <c r="L32" s="550"/>
      <c r="M32" s="574"/>
      <c r="N32" s="550" t="s">
        <v>628</v>
      </c>
      <c r="O32" s="276" t="s">
        <v>115</v>
      </c>
      <c r="P32" s="550"/>
      <c r="Q32" s="574"/>
      <c r="R32" s="550" t="s">
        <v>425</v>
      </c>
      <c r="S32" s="550">
        <v>2</v>
      </c>
      <c r="T32" s="550"/>
      <c r="U32" s="574"/>
      <c r="V32" s="551"/>
      <c r="W32" s="550"/>
      <c r="X32" s="601"/>
      <c r="Y32" s="565" t="s">
        <v>360</v>
      </c>
      <c r="Z32" s="566"/>
      <c r="AA32" s="553">
        <v>18.5</v>
      </c>
      <c r="AB32" s="600">
        <v>70</v>
      </c>
      <c r="AC32" s="572"/>
    </row>
    <row r="33" spans="3:29" ht="15" customHeight="1" x14ac:dyDescent="0.2">
      <c r="C33" s="573"/>
      <c r="D33" s="550" t="s">
        <v>281</v>
      </c>
      <c r="E33" s="553">
        <f>236-I4</f>
        <v>28</v>
      </c>
      <c r="F33" s="550" t="s">
        <v>170</v>
      </c>
      <c r="G33" s="574"/>
      <c r="H33" s="552" t="s">
        <v>101</v>
      </c>
      <c r="I33" s="553">
        <v>208</v>
      </c>
      <c r="J33" s="575"/>
      <c r="K33" s="550"/>
      <c r="L33" s="550"/>
      <c r="M33" s="574"/>
      <c r="N33" s="550" t="s">
        <v>629</v>
      </c>
      <c r="O33" s="276" t="s">
        <v>115</v>
      </c>
      <c r="P33" s="550"/>
      <c r="Q33" s="574"/>
      <c r="R33" s="550" t="s">
        <v>347</v>
      </c>
      <c r="S33" s="550">
        <v>6</v>
      </c>
      <c r="T33" s="550"/>
      <c r="U33" s="574"/>
      <c r="V33" s="551"/>
      <c r="W33" s="550"/>
      <c r="X33" s="601"/>
      <c r="Y33" s="565" t="s">
        <v>361</v>
      </c>
      <c r="Z33" s="566"/>
      <c r="AA33" s="553">
        <v>18.5</v>
      </c>
      <c r="AB33" s="600">
        <v>70</v>
      </c>
      <c r="AC33" s="572"/>
    </row>
    <row r="34" spans="3:29" ht="15" customHeight="1" x14ac:dyDescent="0.2">
      <c r="C34" s="573"/>
      <c r="D34" s="550" t="s">
        <v>837</v>
      </c>
      <c r="E34" s="553">
        <f>236-I5</f>
        <v>28</v>
      </c>
      <c r="F34" s="599" t="s">
        <v>171</v>
      </c>
      <c r="G34" s="574"/>
      <c r="H34" s="552" t="s">
        <v>102</v>
      </c>
      <c r="I34" s="553">
        <v>208</v>
      </c>
      <c r="J34" s="575"/>
      <c r="K34" s="550"/>
      <c r="L34" s="550"/>
      <c r="M34" s="574"/>
      <c r="N34" s="550" t="s">
        <v>630</v>
      </c>
      <c r="O34" s="276" t="s">
        <v>115</v>
      </c>
      <c r="P34" s="550"/>
      <c r="Q34" s="574"/>
      <c r="R34" s="550" t="s">
        <v>348</v>
      </c>
      <c r="S34" s="550">
        <v>6</v>
      </c>
      <c r="T34" s="550"/>
      <c r="U34" s="574"/>
      <c r="V34" s="551"/>
      <c r="W34" s="550"/>
      <c r="X34" s="601"/>
      <c r="Y34" s="565" t="s">
        <v>362</v>
      </c>
      <c r="Z34" s="566"/>
      <c r="AA34" s="553">
        <v>18.5</v>
      </c>
      <c r="AB34" s="600">
        <v>70</v>
      </c>
      <c r="AC34" s="572"/>
    </row>
    <row r="35" spans="3:29" ht="15" customHeight="1" x14ac:dyDescent="0.2">
      <c r="C35" s="573"/>
      <c r="D35" s="550" t="s">
        <v>722</v>
      </c>
      <c r="E35" s="664">
        <f>236-I7</f>
        <v>28</v>
      </c>
      <c r="F35" s="599" t="s">
        <v>171</v>
      </c>
      <c r="G35" s="574"/>
      <c r="H35" s="552" t="s">
        <v>455</v>
      </c>
      <c r="I35" s="553">
        <v>208</v>
      </c>
      <c r="J35" s="575"/>
      <c r="K35" s="550"/>
      <c r="L35" s="550"/>
      <c r="M35" s="574"/>
      <c r="N35" s="550" t="s">
        <v>631</v>
      </c>
      <c r="O35" s="276" t="s">
        <v>115</v>
      </c>
      <c r="P35" s="550"/>
      <c r="Q35" s="574"/>
      <c r="R35" s="550" t="s">
        <v>349</v>
      </c>
      <c r="S35" s="550">
        <v>8</v>
      </c>
      <c r="T35" s="550"/>
      <c r="U35" s="574"/>
      <c r="V35" s="551"/>
      <c r="W35" s="550"/>
      <c r="X35" s="601"/>
      <c r="Y35" s="565" t="s">
        <v>363</v>
      </c>
      <c r="Z35" s="566"/>
      <c r="AA35" s="553">
        <v>18.5</v>
      </c>
      <c r="AB35" s="600">
        <v>70</v>
      </c>
      <c r="AC35" s="572"/>
    </row>
    <row r="36" spans="3:29" ht="15" customHeight="1" x14ac:dyDescent="0.2">
      <c r="C36" s="573"/>
      <c r="D36" s="550" t="s">
        <v>282</v>
      </c>
      <c r="E36" s="553">
        <f>236-I8</f>
        <v>28</v>
      </c>
      <c r="F36" s="599" t="s">
        <v>171</v>
      </c>
      <c r="G36" s="574"/>
      <c r="H36" s="552" t="s">
        <v>103</v>
      </c>
      <c r="I36" s="553">
        <v>208</v>
      </c>
      <c r="J36" s="575"/>
      <c r="K36" s="550"/>
      <c r="L36" s="550"/>
      <c r="M36" s="574"/>
      <c r="N36" s="550" t="s">
        <v>632</v>
      </c>
      <c r="O36" s="276" t="s">
        <v>115</v>
      </c>
      <c r="P36" s="550"/>
      <c r="Q36" s="574"/>
      <c r="R36" s="550" t="s">
        <v>350</v>
      </c>
      <c r="S36" s="550">
        <v>8</v>
      </c>
      <c r="T36" s="550"/>
      <c r="U36" s="574"/>
      <c r="V36" s="551"/>
      <c r="W36" s="550"/>
      <c r="X36" s="601"/>
      <c r="Y36" s="565" t="s">
        <v>364</v>
      </c>
      <c r="Z36" s="566"/>
      <c r="AA36" s="553">
        <v>18.5</v>
      </c>
      <c r="AB36" s="600">
        <v>70</v>
      </c>
      <c r="AC36" s="572"/>
    </row>
    <row r="37" spans="3:29" ht="15" customHeight="1" thickBot="1" x14ac:dyDescent="0.25">
      <c r="D37" s="550" t="s">
        <v>283</v>
      </c>
      <c r="E37" s="553">
        <f>236-I11</f>
        <v>28</v>
      </c>
      <c r="F37" s="550" t="s">
        <v>171</v>
      </c>
      <c r="G37" s="574"/>
      <c r="H37" s="552" t="s">
        <v>104</v>
      </c>
      <c r="I37" s="553">
        <v>208</v>
      </c>
      <c r="J37" s="575"/>
      <c r="K37" s="550"/>
      <c r="L37" s="550"/>
      <c r="M37" s="574"/>
      <c r="N37" s="550" t="s">
        <v>633</v>
      </c>
      <c r="O37" s="276" t="s">
        <v>115</v>
      </c>
      <c r="P37" s="550"/>
      <c r="Q37" s="574"/>
      <c r="R37" s="550"/>
      <c r="S37" s="550"/>
      <c r="T37" s="550"/>
      <c r="U37" s="574"/>
      <c r="V37" s="551"/>
      <c r="W37" s="550"/>
      <c r="X37" s="601"/>
      <c r="Y37" s="565" t="s">
        <v>365</v>
      </c>
      <c r="Z37" s="566"/>
      <c r="AA37" s="553">
        <v>18.5</v>
      </c>
      <c r="AB37" s="600">
        <v>70</v>
      </c>
      <c r="AC37" s="572"/>
    </row>
    <row r="38" spans="3:29" ht="15" customHeight="1" x14ac:dyDescent="0.2">
      <c r="D38" s="550" t="s">
        <v>723</v>
      </c>
      <c r="E38" s="664">
        <f>250-I15</f>
        <v>42</v>
      </c>
      <c r="F38" s="599" t="s">
        <v>171</v>
      </c>
      <c r="G38" s="574"/>
      <c r="H38" s="552" t="s">
        <v>105</v>
      </c>
      <c r="I38" s="553">
        <v>208</v>
      </c>
      <c r="J38" s="575"/>
      <c r="K38" s="550"/>
      <c r="L38" s="550"/>
      <c r="M38" s="574"/>
      <c r="N38" s="550" t="s">
        <v>634</v>
      </c>
      <c r="O38" s="276" t="s">
        <v>115</v>
      </c>
      <c r="P38" s="550"/>
      <c r="Q38" s="574"/>
      <c r="R38" s="625" t="s">
        <v>535</v>
      </c>
      <c r="S38" s="625"/>
      <c r="T38" s="550"/>
      <c r="U38" s="574"/>
      <c r="V38" s="551"/>
      <c r="W38" s="550"/>
      <c r="X38" s="574"/>
      <c r="Y38" s="565" t="s">
        <v>366</v>
      </c>
      <c r="Z38" s="566"/>
      <c r="AA38" s="553">
        <v>18.5</v>
      </c>
      <c r="AB38" s="600">
        <v>70</v>
      </c>
      <c r="AC38" s="572"/>
    </row>
    <row r="39" spans="3:29" ht="15" customHeight="1" x14ac:dyDescent="0.2">
      <c r="D39" s="550" t="s">
        <v>501</v>
      </c>
      <c r="E39" s="553">
        <f>250-I16</f>
        <v>42</v>
      </c>
      <c r="F39" s="599" t="s">
        <v>171</v>
      </c>
      <c r="G39" s="574"/>
      <c r="H39" s="552" t="s">
        <v>106</v>
      </c>
      <c r="I39" s="553">
        <v>208</v>
      </c>
      <c r="J39" s="575"/>
      <c r="K39" s="550"/>
      <c r="L39" s="550"/>
      <c r="M39" s="574"/>
      <c r="N39" s="550" t="s">
        <v>645</v>
      </c>
      <c r="O39" s="276" t="s">
        <v>115</v>
      </c>
      <c r="P39" s="550"/>
      <c r="Q39" s="574"/>
      <c r="R39" s="638" t="s">
        <v>538</v>
      </c>
      <c r="S39" s="638">
        <v>2</v>
      </c>
      <c r="T39" s="550"/>
      <c r="U39" s="574"/>
      <c r="V39" s="551"/>
      <c r="W39" s="550"/>
      <c r="X39" s="574"/>
      <c r="Y39" s="565" t="s">
        <v>367</v>
      </c>
      <c r="Z39" s="566"/>
      <c r="AA39" s="553">
        <v>18.5</v>
      </c>
      <c r="AB39" s="600">
        <v>70</v>
      </c>
      <c r="AC39" s="572"/>
    </row>
    <row r="40" spans="3:29" ht="15" customHeight="1" x14ac:dyDescent="0.2">
      <c r="D40" s="550" t="s">
        <v>533</v>
      </c>
      <c r="E40" s="553">
        <f>250-I19</f>
        <v>42</v>
      </c>
      <c r="F40" s="550" t="s">
        <v>171</v>
      </c>
      <c r="G40" s="574"/>
      <c r="H40" s="552" t="s">
        <v>107</v>
      </c>
      <c r="I40" s="553">
        <v>208</v>
      </c>
      <c r="J40" s="575"/>
      <c r="K40" s="550"/>
      <c r="L40" s="550"/>
      <c r="M40" s="574"/>
      <c r="N40" s="638" t="s">
        <v>646</v>
      </c>
      <c r="O40" s="276" t="s">
        <v>115</v>
      </c>
      <c r="P40" s="550"/>
      <c r="Q40" s="574"/>
      <c r="R40" s="638" t="s">
        <v>539</v>
      </c>
      <c r="S40" s="638">
        <v>2</v>
      </c>
      <c r="T40" s="550"/>
      <c r="U40" s="574"/>
      <c r="V40" s="551"/>
      <c r="W40" s="550"/>
      <c r="X40" s="574"/>
      <c r="Y40" s="567" t="s">
        <v>368</v>
      </c>
      <c r="Z40" s="568"/>
      <c r="AA40" s="569">
        <v>18.5</v>
      </c>
      <c r="AB40" s="598">
        <v>70</v>
      </c>
      <c r="AC40" s="572"/>
    </row>
    <row r="41" spans="3:29" ht="15" customHeight="1" x14ac:dyDescent="0.2">
      <c r="D41" s="550" t="s">
        <v>82</v>
      </c>
      <c r="E41" s="553">
        <f>227-I22</f>
        <v>19</v>
      </c>
      <c r="F41" s="550" t="s">
        <v>169</v>
      </c>
      <c r="G41" s="574"/>
      <c r="H41" s="552" t="s">
        <v>108</v>
      </c>
      <c r="I41" s="553">
        <v>208</v>
      </c>
      <c r="J41" s="575"/>
      <c r="K41" s="550"/>
      <c r="L41" s="550"/>
      <c r="M41" s="574"/>
      <c r="N41" s="638" t="s">
        <v>647</v>
      </c>
      <c r="O41" s="276" t="s">
        <v>115</v>
      </c>
      <c r="P41" s="550"/>
      <c r="Q41" s="574"/>
      <c r="R41" s="638" t="s">
        <v>537</v>
      </c>
      <c r="S41" s="638">
        <v>3</v>
      </c>
      <c r="T41" s="550"/>
      <c r="U41" s="574"/>
      <c r="V41" s="551"/>
      <c r="W41" s="550"/>
      <c r="X41" s="574"/>
      <c r="Y41" s="567" t="s">
        <v>369</v>
      </c>
      <c r="Z41" s="568"/>
      <c r="AA41" s="569">
        <v>18.5</v>
      </c>
      <c r="AB41" s="598">
        <v>70</v>
      </c>
      <c r="AC41" s="572"/>
    </row>
    <row r="42" spans="3:29" x14ac:dyDescent="0.2">
      <c r="D42" s="550" t="s">
        <v>194</v>
      </c>
      <c r="E42" s="553">
        <f>236-I23</f>
        <v>28</v>
      </c>
      <c r="F42" s="539" t="s">
        <v>169</v>
      </c>
      <c r="G42" s="574"/>
      <c r="H42" s="595" t="s">
        <v>109</v>
      </c>
      <c r="I42" s="553">
        <v>208</v>
      </c>
      <c r="J42" s="575"/>
      <c r="K42" s="550"/>
      <c r="L42" s="550"/>
      <c r="M42" s="574"/>
      <c r="N42" s="638" t="s">
        <v>635</v>
      </c>
      <c r="O42" s="276" t="s">
        <v>115</v>
      </c>
      <c r="P42" s="550"/>
      <c r="Q42" s="574"/>
      <c r="R42" s="638" t="s">
        <v>536</v>
      </c>
      <c r="S42" s="638">
        <v>3</v>
      </c>
      <c r="T42" s="550"/>
      <c r="U42" s="574"/>
      <c r="V42" s="551"/>
      <c r="W42" s="550"/>
      <c r="X42" s="574"/>
      <c r="Y42" s="572" t="s">
        <v>178</v>
      </c>
      <c r="Z42" s="571">
        <v>0</v>
      </c>
      <c r="AA42" s="571">
        <v>0</v>
      </c>
      <c r="AB42" s="597"/>
      <c r="AC42" s="572"/>
    </row>
    <row r="43" spans="3:29" x14ac:dyDescent="0.2">
      <c r="D43" s="550" t="s">
        <v>81</v>
      </c>
      <c r="E43" s="553">
        <f>217-I24</f>
        <v>9</v>
      </c>
      <c r="F43" s="550" t="s">
        <v>169</v>
      </c>
      <c r="G43" s="574"/>
      <c r="H43" s="595" t="s">
        <v>456</v>
      </c>
      <c r="I43" s="553">
        <v>208</v>
      </c>
      <c r="J43" s="575"/>
      <c r="K43" s="550"/>
      <c r="L43" s="550"/>
      <c r="M43" s="574"/>
      <c r="N43" s="550"/>
      <c r="O43" s="553"/>
      <c r="P43" s="550"/>
      <c r="Q43" s="574"/>
      <c r="R43" s="638" t="s">
        <v>540</v>
      </c>
      <c r="S43" s="638">
        <v>4</v>
      </c>
      <c r="T43" s="550"/>
      <c r="U43" s="574"/>
      <c r="V43" s="551"/>
      <c r="W43" s="550"/>
      <c r="X43" s="574"/>
      <c r="Y43" s="572" t="s">
        <v>528</v>
      </c>
      <c r="Z43" s="596">
        <v>14</v>
      </c>
      <c r="AA43" s="596">
        <v>14</v>
      </c>
      <c r="AB43" s="550"/>
      <c r="AC43" s="572"/>
    </row>
    <row r="44" spans="3:29" x14ac:dyDescent="0.2">
      <c r="D44" s="950" t="s">
        <v>839</v>
      </c>
      <c r="E44" s="951">
        <v>0</v>
      </c>
      <c r="F44" s="7" t="s">
        <v>64</v>
      </c>
      <c r="G44" s="574"/>
      <c r="H44" s="595" t="s">
        <v>110</v>
      </c>
      <c r="I44" s="553">
        <v>208</v>
      </c>
      <c r="J44" s="575"/>
      <c r="K44" s="550"/>
      <c r="L44" s="550"/>
      <c r="M44" s="574"/>
      <c r="N44" s="550"/>
      <c r="O44" s="550"/>
      <c r="P44" s="550"/>
      <c r="Q44" s="574"/>
      <c r="R44" s="638" t="s">
        <v>541</v>
      </c>
      <c r="S44" s="638">
        <v>4</v>
      </c>
      <c r="T44" s="550"/>
      <c r="U44" s="574"/>
      <c r="V44" s="551"/>
      <c r="W44" s="550"/>
      <c r="X44" s="574"/>
      <c r="Y44" s="572" t="s">
        <v>217</v>
      </c>
      <c r="Z44" s="596">
        <v>16</v>
      </c>
      <c r="AA44" s="596">
        <v>16</v>
      </c>
      <c r="AB44" s="550"/>
      <c r="AC44" s="572"/>
    </row>
    <row r="45" spans="3:29" x14ac:dyDescent="0.2">
      <c r="D45" s="950" t="s">
        <v>724</v>
      </c>
      <c r="E45" s="951">
        <v>0</v>
      </c>
      <c r="F45" s="7" t="s">
        <v>64</v>
      </c>
      <c r="G45" s="574"/>
      <c r="H45" s="595" t="s">
        <v>111</v>
      </c>
      <c r="I45" s="553">
        <v>208</v>
      </c>
      <c r="J45" s="575"/>
      <c r="K45" s="550"/>
      <c r="L45" s="550"/>
      <c r="M45" s="574"/>
      <c r="N45" s="550"/>
      <c r="O45" s="550"/>
      <c r="P45" s="550"/>
      <c r="Q45" s="574"/>
      <c r="R45" s="638" t="s">
        <v>542</v>
      </c>
      <c r="S45" s="638">
        <v>4</v>
      </c>
      <c r="T45" s="550"/>
      <c r="U45" s="574"/>
      <c r="V45" s="551"/>
      <c r="W45" s="550"/>
      <c r="X45" s="574"/>
      <c r="Y45" s="572" t="s">
        <v>179</v>
      </c>
      <c r="Z45" s="596">
        <v>18.5</v>
      </c>
      <c r="AA45" s="596">
        <v>18.5</v>
      </c>
      <c r="AB45" s="550"/>
      <c r="AC45" s="572"/>
    </row>
    <row r="46" spans="3:29" x14ac:dyDescent="0.2">
      <c r="D46" s="950" t="s">
        <v>300</v>
      </c>
      <c r="E46" s="951">
        <v>0</v>
      </c>
      <c r="F46" s="7" t="s">
        <v>64</v>
      </c>
      <c r="G46" s="574"/>
      <c r="H46" s="554" t="s">
        <v>165</v>
      </c>
      <c r="I46" s="553">
        <v>208</v>
      </c>
      <c r="J46" s="575"/>
      <c r="K46" s="550"/>
      <c r="L46" s="550"/>
      <c r="M46" s="574"/>
      <c r="N46" s="550"/>
      <c r="O46" s="550"/>
      <c r="P46" s="550"/>
      <c r="Q46" s="574"/>
      <c r="R46" s="638" t="s">
        <v>543</v>
      </c>
      <c r="S46" s="638">
        <v>4</v>
      </c>
      <c r="T46" s="550"/>
      <c r="U46" s="574"/>
      <c r="V46" s="551"/>
      <c r="W46" s="550"/>
      <c r="X46" s="574"/>
      <c r="Y46" s="572" t="s">
        <v>180</v>
      </c>
      <c r="Z46" s="596">
        <v>22</v>
      </c>
      <c r="AA46" s="596">
        <v>22</v>
      </c>
      <c r="AB46" s="550"/>
      <c r="AC46" s="572"/>
    </row>
    <row r="47" spans="3:29" x14ac:dyDescent="0.2">
      <c r="D47" s="950" t="s">
        <v>655</v>
      </c>
      <c r="E47" s="951">
        <v>0</v>
      </c>
      <c r="F47" s="7" t="s">
        <v>64</v>
      </c>
      <c r="G47" s="574"/>
      <c r="H47" s="554" t="s">
        <v>166</v>
      </c>
      <c r="I47" s="553">
        <v>208</v>
      </c>
      <c r="J47" s="575"/>
      <c r="K47" s="550"/>
      <c r="L47" s="550"/>
      <c r="M47" s="574"/>
      <c r="N47" s="550"/>
      <c r="O47" s="550"/>
      <c r="P47" s="550"/>
      <c r="Q47" s="574"/>
      <c r="R47" s="638" t="s">
        <v>544</v>
      </c>
      <c r="S47" s="638">
        <v>6</v>
      </c>
      <c r="T47" s="550"/>
      <c r="U47" s="574"/>
      <c r="V47" s="551"/>
      <c r="W47" s="550"/>
      <c r="X47" s="574"/>
      <c r="Y47" s="572" t="s">
        <v>181</v>
      </c>
      <c r="Z47" s="596">
        <v>26</v>
      </c>
      <c r="AA47" s="596">
        <v>26</v>
      </c>
      <c r="AB47" s="550"/>
      <c r="AC47" s="572"/>
    </row>
    <row r="48" spans="3:29" x14ac:dyDescent="0.2">
      <c r="D48" s="950" t="s">
        <v>658</v>
      </c>
      <c r="E48" s="952">
        <v>28</v>
      </c>
      <c r="F48" s="7" t="s">
        <v>64</v>
      </c>
      <c r="G48" s="574"/>
      <c r="H48" s="554" t="s">
        <v>167</v>
      </c>
      <c r="I48" s="553">
        <v>208</v>
      </c>
      <c r="J48" s="575"/>
      <c r="K48" s="550"/>
      <c r="L48" s="550"/>
      <c r="M48" s="574"/>
      <c r="N48" s="550"/>
      <c r="O48" s="550"/>
      <c r="P48" s="550"/>
      <c r="Q48" s="574"/>
      <c r="R48" s="638" t="s">
        <v>545</v>
      </c>
      <c r="S48" s="638">
        <v>6</v>
      </c>
      <c r="T48" s="550"/>
      <c r="U48" s="574"/>
      <c r="V48" s="551"/>
      <c r="W48" s="550"/>
      <c r="X48" s="574"/>
      <c r="Y48" s="576" t="s">
        <v>296</v>
      </c>
      <c r="Z48" s="576">
        <v>0</v>
      </c>
      <c r="AA48" s="576">
        <v>0</v>
      </c>
      <c r="AB48" s="550"/>
      <c r="AC48" s="572"/>
    </row>
    <row r="49" spans="4:29" x14ac:dyDescent="0.2">
      <c r="D49" s="950" t="s">
        <v>840</v>
      </c>
      <c r="E49" s="952">
        <v>28</v>
      </c>
      <c r="F49" s="7" t="s">
        <v>64</v>
      </c>
      <c r="G49" s="574"/>
      <c r="H49" s="554" t="s">
        <v>428</v>
      </c>
      <c r="I49" s="553">
        <v>208</v>
      </c>
      <c r="J49" s="575"/>
      <c r="K49" s="550"/>
      <c r="L49" s="550"/>
      <c r="M49" s="574"/>
      <c r="N49" s="550"/>
      <c r="O49" s="550"/>
      <c r="P49" s="550"/>
      <c r="Q49" s="574"/>
      <c r="R49" s="550"/>
      <c r="S49" s="550"/>
      <c r="T49" s="550"/>
      <c r="U49" s="574"/>
      <c r="V49" s="551"/>
      <c r="W49" s="550"/>
      <c r="X49" s="574"/>
      <c r="Y49" s="572"/>
      <c r="Z49" s="553"/>
      <c r="AA49" s="553"/>
      <c r="AB49" s="550"/>
      <c r="AC49" s="572"/>
    </row>
    <row r="50" spans="4:29" x14ac:dyDescent="0.2">
      <c r="D50" s="950" t="s">
        <v>725</v>
      </c>
      <c r="E50" s="952">
        <v>28</v>
      </c>
      <c r="F50" s="7" t="s">
        <v>64</v>
      </c>
      <c r="G50" s="574"/>
      <c r="H50" s="595" t="s">
        <v>374</v>
      </c>
      <c r="I50" s="553">
        <v>208</v>
      </c>
      <c r="J50" s="575"/>
      <c r="K50" s="550"/>
      <c r="L50" s="550"/>
      <c r="M50" s="574"/>
      <c r="N50" s="550"/>
      <c r="O50" s="550"/>
      <c r="P50" s="550"/>
      <c r="Q50" s="574"/>
      <c r="R50" s="550"/>
      <c r="S50" s="550"/>
      <c r="T50" s="550"/>
      <c r="U50" s="574"/>
      <c r="V50" s="551"/>
      <c r="W50" s="550"/>
      <c r="X50" s="574"/>
      <c r="Y50" s="572"/>
      <c r="Z50" s="553"/>
      <c r="AA50" s="553"/>
      <c r="AB50" s="550"/>
      <c r="AC50" s="572"/>
    </row>
    <row r="51" spans="4:29" x14ac:dyDescent="0.2">
      <c r="D51" s="950" t="s">
        <v>656</v>
      </c>
      <c r="E51" s="952">
        <v>28</v>
      </c>
      <c r="F51" s="7" t="s">
        <v>64</v>
      </c>
      <c r="G51" s="574"/>
      <c r="H51" s="554" t="s">
        <v>454</v>
      </c>
      <c r="I51" s="553">
        <v>208</v>
      </c>
      <c r="J51" s="575"/>
      <c r="K51" s="550"/>
      <c r="L51" s="550"/>
      <c r="M51" s="574"/>
      <c r="N51" s="550"/>
      <c r="O51" s="550"/>
      <c r="P51" s="550"/>
      <c r="Q51" s="574"/>
      <c r="R51" s="550"/>
      <c r="S51" s="550"/>
      <c r="T51" s="550"/>
      <c r="U51" s="574"/>
      <c r="V51" s="551"/>
      <c r="W51" s="550"/>
      <c r="X51" s="574"/>
      <c r="Y51" s="572"/>
      <c r="Z51" s="553"/>
      <c r="AA51" s="553"/>
      <c r="AB51" s="550"/>
      <c r="AC51" s="572"/>
    </row>
    <row r="52" spans="4:29" x14ac:dyDescent="0.2">
      <c r="D52" s="950" t="s">
        <v>841</v>
      </c>
      <c r="E52" s="952">
        <v>42</v>
      </c>
      <c r="F52" s="7" t="s">
        <v>64</v>
      </c>
      <c r="G52" s="574"/>
      <c r="H52" s="551" t="s">
        <v>488</v>
      </c>
      <c r="I52" s="550">
        <v>100</v>
      </c>
      <c r="J52" s="575"/>
      <c r="K52" s="550"/>
      <c r="L52" s="550"/>
      <c r="M52" s="574"/>
      <c r="N52" s="550"/>
      <c r="O52" s="550"/>
      <c r="P52" s="550"/>
      <c r="Q52" s="574"/>
      <c r="R52" s="550"/>
      <c r="S52" s="550"/>
      <c r="T52" s="550"/>
      <c r="U52" s="574"/>
      <c r="V52" s="551"/>
      <c r="W52" s="550"/>
      <c r="X52" s="574"/>
      <c r="Y52" s="572"/>
      <c r="Z52" s="553"/>
      <c r="AA52" s="553"/>
      <c r="AB52" s="550"/>
      <c r="AC52" s="572"/>
    </row>
    <row r="53" spans="4:29" x14ac:dyDescent="0.2">
      <c r="D53" s="950" t="s">
        <v>726</v>
      </c>
      <c r="E53" s="952">
        <v>42</v>
      </c>
      <c r="F53" s="7" t="s">
        <v>64</v>
      </c>
      <c r="G53" s="574"/>
      <c r="H53" s="551" t="s">
        <v>489</v>
      </c>
      <c r="I53" s="550">
        <v>100</v>
      </c>
      <c r="J53" s="575"/>
      <c r="K53" s="550"/>
      <c r="L53" s="550"/>
      <c r="M53" s="574"/>
      <c r="N53" s="550"/>
      <c r="O53" s="550"/>
      <c r="P53" s="550"/>
      <c r="Q53" s="574"/>
      <c r="R53" s="550"/>
      <c r="S53" s="550"/>
      <c r="T53" s="550"/>
      <c r="U53" s="574"/>
      <c r="V53" s="551"/>
      <c r="W53" s="550"/>
      <c r="X53" s="574"/>
      <c r="Y53" s="572"/>
      <c r="Z53" s="553"/>
      <c r="AA53" s="553"/>
      <c r="AB53" s="550"/>
      <c r="AC53" s="572"/>
    </row>
    <row r="54" spans="4:29" x14ac:dyDescent="0.2">
      <c r="D54" s="950" t="s">
        <v>660</v>
      </c>
      <c r="E54" s="952">
        <v>42</v>
      </c>
      <c r="F54" s="7" t="s">
        <v>64</v>
      </c>
      <c r="G54" s="574"/>
      <c r="H54" s="551" t="s">
        <v>490</v>
      </c>
      <c r="I54" s="550">
        <v>168</v>
      </c>
      <c r="J54" s="575"/>
      <c r="K54" s="550"/>
      <c r="L54" s="550"/>
      <c r="M54" s="574"/>
      <c r="N54" s="550"/>
      <c r="O54" s="550"/>
      <c r="P54" s="550"/>
      <c r="Q54" s="574"/>
      <c r="R54" s="550"/>
      <c r="S54" s="550"/>
      <c r="T54" s="550"/>
      <c r="U54" s="574"/>
      <c r="V54" s="551"/>
      <c r="W54" s="550"/>
      <c r="X54" s="574"/>
      <c r="Y54" s="572"/>
      <c r="Z54" s="572"/>
      <c r="AA54" s="572"/>
      <c r="AB54" s="550"/>
      <c r="AC54" s="572"/>
    </row>
    <row r="55" spans="4:29" x14ac:dyDescent="0.2">
      <c r="D55" s="950" t="s">
        <v>662</v>
      </c>
      <c r="E55" s="952">
        <v>42</v>
      </c>
      <c r="F55" s="7" t="s">
        <v>64</v>
      </c>
      <c r="G55" s="574"/>
      <c r="H55" s="551" t="s">
        <v>491</v>
      </c>
      <c r="I55" s="550">
        <v>168</v>
      </c>
      <c r="J55" s="575"/>
      <c r="K55" s="550"/>
      <c r="L55" s="550"/>
      <c r="M55" s="574"/>
      <c r="N55" s="550"/>
      <c r="O55" s="550"/>
      <c r="P55" s="550"/>
      <c r="Q55" s="574"/>
      <c r="R55" s="550"/>
      <c r="S55" s="550"/>
      <c r="T55" s="550"/>
      <c r="U55" s="574"/>
      <c r="V55" s="551"/>
      <c r="W55" s="550"/>
      <c r="X55" s="574"/>
      <c r="Y55" s="572"/>
      <c r="Z55" s="572"/>
      <c r="AA55" s="572"/>
      <c r="AB55" s="550"/>
      <c r="AC55" s="572"/>
    </row>
    <row r="56" spans="4:29" ht="12.75" thickBot="1" x14ac:dyDescent="0.25">
      <c r="D56" s="550"/>
      <c r="E56" s="550"/>
      <c r="F56" s="574"/>
      <c r="G56" s="574"/>
      <c r="H56" s="551"/>
      <c r="I56" s="550"/>
      <c r="J56" s="574"/>
      <c r="K56" s="550"/>
      <c r="L56" s="550"/>
      <c r="M56" s="574"/>
      <c r="N56" s="550"/>
      <c r="O56" s="550"/>
      <c r="P56" s="550"/>
      <c r="Q56" s="574"/>
      <c r="R56" s="550"/>
      <c r="S56" s="550"/>
      <c r="T56" s="550"/>
      <c r="U56" s="574"/>
      <c r="V56" s="551"/>
      <c r="W56" s="550"/>
      <c r="X56" s="574"/>
      <c r="Y56" s="572"/>
      <c r="Z56" s="572"/>
      <c r="AA56" s="572"/>
      <c r="AB56" s="550"/>
      <c r="AC56" s="572"/>
    </row>
    <row r="57" spans="4:29" x14ac:dyDescent="0.2">
      <c r="D57" s="542" t="s">
        <v>266</v>
      </c>
      <c r="E57" s="550"/>
      <c r="F57" s="574"/>
      <c r="G57" s="574"/>
      <c r="H57" s="551"/>
      <c r="I57" s="550"/>
      <c r="J57" s="574"/>
      <c r="K57" s="550"/>
      <c r="L57" s="550"/>
      <c r="M57" s="574"/>
      <c r="N57" s="550"/>
      <c r="O57" s="550"/>
      <c r="P57" s="550"/>
      <c r="Q57" s="574"/>
      <c r="R57" s="550"/>
      <c r="S57" s="550"/>
      <c r="T57" s="550"/>
      <c r="U57" s="574"/>
      <c r="V57" s="551"/>
      <c r="W57" s="550"/>
      <c r="X57" s="574"/>
      <c r="Y57" s="572"/>
      <c r="Z57" s="572"/>
      <c r="AA57" s="572"/>
      <c r="AB57" s="550"/>
      <c r="AC57" s="572"/>
    </row>
    <row r="58" spans="4:29" x14ac:dyDescent="0.2">
      <c r="D58" s="550" t="s">
        <v>832</v>
      </c>
      <c r="E58" s="550"/>
      <c r="F58" s="574"/>
      <c r="G58" s="574"/>
      <c r="H58" s="594"/>
      <c r="J58" s="574"/>
      <c r="K58" s="550"/>
      <c r="L58" s="550"/>
      <c r="M58" s="574"/>
      <c r="N58" s="550"/>
      <c r="O58" s="550"/>
      <c r="P58" s="550"/>
      <c r="Q58" s="574"/>
      <c r="R58" s="550"/>
      <c r="S58" s="550"/>
      <c r="T58" s="550"/>
      <c r="U58" s="574"/>
      <c r="V58" s="551"/>
      <c r="W58" s="550"/>
      <c r="X58" s="574"/>
      <c r="Y58" s="572"/>
      <c r="Z58" s="572"/>
      <c r="AA58" s="572"/>
      <c r="AB58" s="550"/>
      <c r="AC58" s="572"/>
    </row>
    <row r="59" spans="4:29" x14ac:dyDescent="0.2">
      <c r="D59" s="550" t="s">
        <v>716</v>
      </c>
      <c r="E59" s="550"/>
      <c r="F59" s="574"/>
      <c r="N59" s="550"/>
      <c r="O59" s="550"/>
      <c r="P59" s="550"/>
      <c r="R59" s="550"/>
      <c r="S59" s="550"/>
      <c r="T59" s="550"/>
      <c r="V59" s="551"/>
      <c r="W59" s="550"/>
      <c r="Y59" s="572"/>
      <c r="Z59" s="572"/>
      <c r="AA59" s="572"/>
      <c r="AB59" s="550"/>
      <c r="AC59" s="572"/>
    </row>
    <row r="60" spans="4:29" x14ac:dyDescent="0.2">
      <c r="D60" s="550" t="s">
        <v>50</v>
      </c>
      <c r="E60" s="550"/>
      <c r="F60" s="574"/>
      <c r="N60" s="550"/>
      <c r="O60" s="550"/>
      <c r="P60" s="550"/>
      <c r="R60" s="550"/>
      <c r="S60" s="550"/>
      <c r="T60" s="550"/>
      <c r="V60" s="551"/>
      <c r="W60" s="550"/>
      <c r="Y60" s="572"/>
      <c r="Z60" s="572"/>
      <c r="AA60" s="572"/>
      <c r="AB60" s="550"/>
      <c r="AC60" s="572"/>
    </row>
    <row r="61" spans="4:29" x14ac:dyDescent="0.2">
      <c r="D61" s="550" t="s">
        <v>837</v>
      </c>
      <c r="E61" s="550"/>
      <c r="F61" s="574"/>
      <c r="N61" s="550"/>
      <c r="O61" s="550"/>
      <c r="P61" s="550"/>
      <c r="R61" s="550"/>
      <c r="S61" s="550"/>
      <c r="Y61" s="572"/>
      <c r="Z61" s="572"/>
      <c r="AA61" s="572"/>
      <c r="AB61" s="550"/>
      <c r="AC61" s="572"/>
    </row>
    <row r="62" spans="4:29" x14ac:dyDescent="0.2">
      <c r="D62" s="550" t="s">
        <v>722</v>
      </c>
      <c r="E62" s="550"/>
      <c r="F62" s="574"/>
      <c r="N62" s="550"/>
      <c r="O62" s="550"/>
      <c r="P62" s="550"/>
      <c r="R62" s="550"/>
      <c r="S62" s="550"/>
      <c r="AB62" s="550"/>
      <c r="AC62" s="572"/>
    </row>
    <row r="63" spans="4:29" x14ac:dyDescent="0.2">
      <c r="D63" s="550" t="s">
        <v>282</v>
      </c>
      <c r="E63" s="550"/>
      <c r="F63" s="574"/>
      <c r="N63" s="550"/>
      <c r="O63" s="550"/>
      <c r="P63" s="550"/>
      <c r="R63" s="550"/>
      <c r="S63" s="550"/>
      <c r="Y63" s="550"/>
      <c r="Z63" s="550"/>
      <c r="AA63" s="550"/>
      <c r="AB63" s="550"/>
      <c r="AC63" s="572"/>
    </row>
    <row r="64" spans="4:29" ht="12.75" thickBot="1" x14ac:dyDescent="0.25">
      <c r="D64" s="550"/>
      <c r="E64" s="550"/>
      <c r="F64" s="574"/>
      <c r="N64" s="550"/>
      <c r="O64" s="550"/>
      <c r="Y64" s="550"/>
      <c r="Z64" s="550"/>
      <c r="AA64" s="550"/>
      <c r="AB64" s="550"/>
      <c r="AC64" s="572"/>
    </row>
    <row r="65" spans="4:29" x14ac:dyDescent="0.2">
      <c r="D65" s="542" t="s">
        <v>299</v>
      </c>
      <c r="E65" s="550"/>
      <c r="F65" s="574"/>
      <c r="N65" s="550"/>
      <c r="O65" s="550"/>
      <c r="Y65" s="550"/>
      <c r="Z65" s="550"/>
      <c r="AA65" s="550"/>
      <c r="AB65" s="550"/>
      <c r="AC65" s="572"/>
    </row>
    <row r="66" spans="4:29" x14ac:dyDescent="0.2">
      <c r="D66" s="550" t="s">
        <v>434</v>
      </c>
      <c r="E66" s="550"/>
      <c r="F66" s="574"/>
      <c r="N66" s="550"/>
      <c r="O66" s="550"/>
      <c r="Y66" s="550"/>
      <c r="Z66" s="550"/>
      <c r="AA66" s="550"/>
      <c r="AB66" s="550"/>
      <c r="AC66" s="572"/>
    </row>
    <row r="67" spans="4:29" x14ac:dyDescent="0.2">
      <c r="D67" s="593" t="s">
        <v>49</v>
      </c>
      <c r="E67" s="550"/>
      <c r="F67" s="574"/>
      <c r="N67" s="550"/>
      <c r="O67" s="550"/>
      <c r="Y67" s="550"/>
      <c r="Z67" s="550"/>
      <c r="AA67" s="550"/>
      <c r="AB67" s="550"/>
      <c r="AC67" s="572"/>
    </row>
    <row r="68" spans="4:29" x14ac:dyDescent="0.2">
      <c r="D68" s="550" t="s">
        <v>832</v>
      </c>
      <c r="E68" s="550"/>
      <c r="F68" s="574"/>
      <c r="N68" s="550"/>
      <c r="O68" s="550"/>
      <c r="Y68" s="550"/>
      <c r="Z68" s="550"/>
      <c r="AA68" s="550"/>
      <c r="AB68" s="550"/>
      <c r="AC68" s="572"/>
    </row>
    <row r="69" spans="4:29" x14ac:dyDescent="0.2">
      <c r="D69" s="550" t="s">
        <v>427</v>
      </c>
      <c r="E69" s="550"/>
      <c r="F69" s="574"/>
      <c r="N69" s="550"/>
      <c r="O69" s="550"/>
      <c r="Y69" s="550"/>
      <c r="Z69" s="550"/>
      <c r="AA69" s="550"/>
      <c r="AB69" s="550"/>
    </row>
    <row r="70" spans="4:29" x14ac:dyDescent="0.2">
      <c r="D70" s="550" t="s">
        <v>716</v>
      </c>
      <c r="E70" s="550"/>
      <c r="F70" s="574"/>
      <c r="N70" s="550"/>
      <c r="O70" s="550"/>
      <c r="Y70" s="550"/>
      <c r="Z70" s="550"/>
      <c r="AA70" s="550"/>
      <c r="AB70" s="550"/>
    </row>
    <row r="71" spans="4:29" x14ac:dyDescent="0.2">
      <c r="D71" s="550" t="s">
        <v>50</v>
      </c>
      <c r="E71" s="550"/>
      <c r="F71" s="574"/>
      <c r="N71" s="550"/>
      <c r="O71" s="550"/>
      <c r="Y71" s="550"/>
      <c r="Z71" s="572"/>
      <c r="AA71" s="572"/>
    </row>
    <row r="72" spans="4:29" x14ac:dyDescent="0.2">
      <c r="D72" s="550" t="s">
        <v>75</v>
      </c>
      <c r="E72" s="550"/>
      <c r="F72" s="574"/>
      <c r="H72" s="552"/>
      <c r="N72" s="550"/>
      <c r="O72" s="550"/>
      <c r="Y72" s="550"/>
      <c r="Z72" s="572"/>
      <c r="AA72" s="572"/>
    </row>
    <row r="73" spans="4:29" x14ac:dyDescent="0.2">
      <c r="D73" s="550" t="s">
        <v>312</v>
      </c>
      <c r="E73" s="550"/>
      <c r="F73" s="574"/>
      <c r="N73" s="550"/>
      <c r="O73" s="550"/>
      <c r="Y73" s="550"/>
      <c r="Z73" s="572"/>
      <c r="AA73" s="572"/>
    </row>
    <row r="74" spans="4:29" x14ac:dyDescent="0.2">
      <c r="D74" s="550" t="s">
        <v>313</v>
      </c>
      <c r="E74" s="550"/>
      <c r="F74" s="574"/>
      <c r="N74" s="550"/>
      <c r="O74" s="550"/>
      <c r="Y74" s="550"/>
      <c r="Z74" s="572"/>
      <c r="AA74" s="572"/>
    </row>
    <row r="75" spans="4:29" x14ac:dyDescent="0.2">
      <c r="D75" s="550" t="s">
        <v>833</v>
      </c>
      <c r="E75" s="550"/>
      <c r="F75" s="574"/>
      <c r="N75" s="550"/>
      <c r="O75" s="550"/>
      <c r="Y75" s="550"/>
      <c r="Z75" s="572"/>
      <c r="AA75" s="572"/>
    </row>
    <row r="76" spans="4:29" x14ac:dyDescent="0.2">
      <c r="D76" s="550" t="s">
        <v>834</v>
      </c>
      <c r="E76" s="550"/>
      <c r="F76" s="574"/>
      <c r="N76" s="550"/>
      <c r="O76" s="550"/>
      <c r="Y76" s="550"/>
      <c r="Z76" s="572"/>
      <c r="AA76" s="572"/>
    </row>
    <row r="77" spans="4:29" x14ac:dyDescent="0.2">
      <c r="D77" s="550" t="s">
        <v>718</v>
      </c>
      <c r="N77" s="550"/>
      <c r="O77" s="550"/>
      <c r="Y77" s="550"/>
      <c r="Z77" s="572"/>
      <c r="AA77" s="572"/>
    </row>
    <row r="78" spans="4:29" x14ac:dyDescent="0.2">
      <c r="D78" s="550" t="s">
        <v>719</v>
      </c>
      <c r="N78" s="550"/>
      <c r="O78" s="550"/>
      <c r="Y78" s="550"/>
      <c r="Z78" s="572"/>
      <c r="AA78" s="572"/>
    </row>
    <row r="79" spans="4:29" x14ac:dyDescent="0.2">
      <c r="D79" s="550" t="s">
        <v>322</v>
      </c>
      <c r="N79" s="550"/>
      <c r="O79" s="550"/>
      <c r="Y79" s="550"/>
      <c r="Z79" s="572"/>
      <c r="AA79" s="572"/>
    </row>
    <row r="80" spans="4:29" x14ac:dyDescent="0.2">
      <c r="D80" s="550" t="s">
        <v>323</v>
      </c>
      <c r="N80" s="550"/>
      <c r="O80" s="550"/>
      <c r="Y80" s="550"/>
      <c r="Z80" s="572"/>
      <c r="AA80" s="572"/>
    </row>
    <row r="81" spans="4:27" x14ac:dyDescent="0.2">
      <c r="D81" s="550" t="s">
        <v>314</v>
      </c>
      <c r="N81" s="550"/>
      <c r="O81" s="550"/>
      <c r="Y81" s="550"/>
      <c r="Z81" s="572"/>
      <c r="AA81" s="572"/>
    </row>
    <row r="82" spans="4:27" x14ac:dyDescent="0.2">
      <c r="D82" s="550" t="s">
        <v>315</v>
      </c>
      <c r="N82" s="550"/>
      <c r="O82" s="550"/>
      <c r="Y82" s="550"/>
      <c r="Z82" s="572"/>
      <c r="AA82" s="572"/>
    </row>
    <row r="83" spans="4:27" x14ac:dyDescent="0.2">
      <c r="D83" s="550" t="s">
        <v>316</v>
      </c>
      <c r="N83" s="550"/>
      <c r="O83" s="550"/>
      <c r="Y83" s="550"/>
      <c r="Z83" s="572"/>
      <c r="AA83" s="572"/>
    </row>
    <row r="84" spans="4:27" x14ac:dyDescent="0.2">
      <c r="D84" s="550" t="s">
        <v>317</v>
      </c>
      <c r="N84" s="550"/>
      <c r="O84" s="550"/>
      <c r="Y84" s="550"/>
      <c r="Z84" s="572"/>
      <c r="AA84" s="572"/>
    </row>
    <row r="85" spans="4:27" x14ac:dyDescent="0.2">
      <c r="D85" s="550" t="s">
        <v>835</v>
      </c>
      <c r="N85" s="550"/>
      <c r="O85" s="550"/>
      <c r="Y85" s="550"/>
      <c r="Z85" s="572"/>
      <c r="AA85" s="572"/>
    </row>
    <row r="86" spans="4:27" x14ac:dyDescent="0.2">
      <c r="D86" s="550" t="s">
        <v>836</v>
      </c>
      <c r="N86" s="550"/>
      <c r="O86" s="550"/>
      <c r="Y86" s="550"/>
      <c r="Z86" s="572"/>
      <c r="AA86" s="572"/>
    </row>
    <row r="87" spans="4:27" x14ac:dyDescent="0.2">
      <c r="D87" s="550" t="s">
        <v>720</v>
      </c>
      <c r="N87" s="550"/>
      <c r="O87" s="550"/>
      <c r="Y87" s="550"/>
      <c r="Z87" s="572"/>
      <c r="AA87" s="572"/>
    </row>
    <row r="88" spans="4:27" x14ac:dyDescent="0.2">
      <c r="D88" s="550" t="s">
        <v>721</v>
      </c>
      <c r="N88" s="550"/>
      <c r="O88" s="550"/>
      <c r="Y88" s="550"/>
      <c r="Z88" s="572"/>
      <c r="AA88" s="572"/>
    </row>
    <row r="89" spans="4:27" x14ac:dyDescent="0.2">
      <c r="D89" s="550" t="s">
        <v>318</v>
      </c>
      <c r="N89" s="550"/>
      <c r="O89" s="550"/>
      <c r="Y89" s="550"/>
      <c r="Z89" s="572"/>
      <c r="AA89" s="572"/>
    </row>
    <row r="90" spans="4:27" x14ac:dyDescent="0.2">
      <c r="D90" s="550" t="s">
        <v>319</v>
      </c>
      <c r="N90" s="550"/>
      <c r="O90" s="550"/>
      <c r="Y90" s="550"/>
      <c r="Z90" s="572"/>
      <c r="AA90" s="572"/>
    </row>
    <row r="91" spans="4:27" x14ac:dyDescent="0.2">
      <c r="D91" s="550" t="s">
        <v>320</v>
      </c>
    </row>
    <row r="92" spans="4:27" x14ac:dyDescent="0.2">
      <c r="D92" s="550" t="s">
        <v>321</v>
      </c>
    </row>
    <row r="93" spans="4:27" x14ac:dyDescent="0.2">
      <c r="D93" s="550" t="s">
        <v>82</v>
      </c>
    </row>
    <row r="94" spans="4:27" x14ac:dyDescent="0.2">
      <c r="D94" s="550" t="s">
        <v>194</v>
      </c>
    </row>
    <row r="95" spans="4:27" x14ac:dyDescent="0.2">
      <c r="D95" s="550" t="s">
        <v>81</v>
      </c>
    </row>
  </sheetData>
  <sheetProtection selectLockedCells="1" selectUnlockedCells="1"/>
  <dataConsolidate/>
  <mergeCells count="3">
    <mergeCell ref="D1:E1"/>
    <mergeCell ref="K1:L1"/>
    <mergeCell ref="N1:O1"/>
  </mergeCells>
  <pageMargins left="0.17" right="0.17" top="0.28000000000000003" bottom="0.4" header="0.17" footer="0.19"/>
  <pageSetup scale="44" fitToWidth="2" orientation="landscape" horizontalDpi="1200" verticalDpi="1200"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B20663067D104F808448A2CE098101" ma:contentTypeVersion="8" ma:contentTypeDescription="Create a new document." ma:contentTypeScope="" ma:versionID="4bb334202cc9d2cb7348509d3329f433">
  <xsd:schema xmlns:xsd="http://www.w3.org/2001/XMLSchema" xmlns:xs="http://www.w3.org/2001/XMLSchema" xmlns:p="http://schemas.microsoft.com/office/2006/metadata/properties" xmlns:ns2="0dddf3cb-0bd4-4e55-ab2c-5abd4ce7580a" xmlns:ns3="0939dbf7-a5b3-4eeb-9dff-eb084b7b473e" targetNamespace="http://schemas.microsoft.com/office/2006/metadata/properties" ma:root="true" ma:fieldsID="e63e9f56b3c98a5bca244376ac7fc1d5" ns2:_="" ns3:_="">
    <xsd:import namespace="0dddf3cb-0bd4-4e55-ab2c-5abd4ce7580a"/>
    <xsd:import namespace="0939dbf7-a5b3-4eeb-9dff-eb084b7b473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df3cb-0bd4-4e55-ab2c-5abd4ce75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39dbf7-a5b3-4eeb-9dff-eb084b7b47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F05B264-C15E-40A6-B53C-EA1266E4CD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df3cb-0bd4-4e55-ab2c-5abd4ce7580a"/>
    <ds:schemaRef ds:uri="0939dbf7-a5b3-4eeb-9dff-eb084b7b47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E4E6F3-629A-4FBF-933B-B2E82C90E526}">
  <ds:schemaRefs>
    <ds:schemaRef ds:uri="http://schemas.microsoft.com/sharepoint/v3/contenttype/forms"/>
  </ds:schemaRefs>
</ds:datastoreItem>
</file>

<file path=customXml/itemProps3.xml><?xml version="1.0" encoding="utf-8"?>
<ds:datastoreItem xmlns:ds="http://schemas.openxmlformats.org/officeDocument/2006/customXml" ds:itemID="{1A3ECE92-1774-4165-9138-680F4F08ED12}">
  <ds:schemaRefs>
    <ds:schemaRef ds:uri="http://schemas.microsoft.com/office/2006/documentManagement/types"/>
    <ds:schemaRef ds:uri="0939dbf7-a5b3-4eeb-9dff-eb084b7b473e"/>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0dddf3cb-0bd4-4e55-ab2c-5abd4ce7580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521</vt:i4>
      </vt:variant>
    </vt:vector>
  </HeadingPairs>
  <TitlesOfParts>
    <vt:vector size="537" baseType="lpstr">
      <vt:lpstr>Purchase Order SCRAFT</vt:lpstr>
      <vt:lpstr>Installation Spec</vt:lpstr>
      <vt:lpstr>Special Shape ID</vt:lpstr>
      <vt:lpstr>EDR</vt:lpstr>
      <vt:lpstr>Pricing and calculations</vt:lpstr>
      <vt:lpstr>Standard Configurations</vt:lpstr>
      <vt:lpstr>Skylight configuration</vt:lpstr>
      <vt:lpstr>Fiji configuration</vt:lpstr>
      <vt:lpstr>Sumatra Panel configuration</vt:lpstr>
      <vt:lpstr>Craftwood Panel configuration</vt:lpstr>
      <vt:lpstr>Craftwood + Panel config </vt:lpstr>
      <vt:lpstr>CoralWood Panel configuration</vt:lpstr>
      <vt:lpstr>Permawood Panel configuration</vt:lpstr>
      <vt:lpstr>Basswood Panel configuration</vt:lpstr>
      <vt:lpstr>Cedarwood Panel configuration</vt:lpstr>
      <vt:lpstr>Larchwood configuration</vt:lpstr>
      <vt:lpstr>AdditionalFrameTab</vt:lpstr>
      <vt:lpstr>AltDeliverAddr</vt:lpstr>
      <vt:lpstr>b_BattenPriceTab</vt:lpstr>
      <vt:lpstr>b_BlackoutPriceTab</vt:lpstr>
      <vt:lpstr>b_brc</vt:lpstr>
      <vt:lpstr>b_bt</vt:lpstr>
      <vt:lpstr>b_CCL</vt:lpstr>
      <vt:lpstr>b_CF</vt:lpstr>
      <vt:lpstr>b_CL</vt:lpstr>
      <vt:lpstr>b_colourpricetab</vt:lpstr>
      <vt:lpstr>b_Config</vt:lpstr>
      <vt:lpstr>b_CT</vt:lpstr>
      <vt:lpstr>b_FFCF</vt:lpstr>
      <vt:lpstr>b_FramePriceTab</vt:lpstr>
      <vt:lpstr>b_ft</vt:lpstr>
      <vt:lpstr>b_fttrack</vt:lpstr>
      <vt:lpstr>b_Gloss</vt:lpstr>
      <vt:lpstr>b_GlossPriceTab</vt:lpstr>
      <vt:lpstr>b_hc</vt:lpstr>
      <vt:lpstr>b_hcPriceTab</vt:lpstr>
      <vt:lpstr>b_laths</vt:lpstr>
      <vt:lpstr>b_lv</vt:lpstr>
      <vt:lpstr>b_lvTransTab</vt:lpstr>
      <vt:lpstr>b_M_T</vt:lpstr>
      <vt:lpstr>b_M_T_PriceTab</vt:lpstr>
      <vt:lpstr>b_NoRcLv</vt:lpstr>
      <vt:lpstr>b_OpenBPLv</vt:lpstr>
      <vt:lpstr>b_rd</vt:lpstr>
      <vt:lpstr>b_rd1</vt:lpstr>
      <vt:lpstr>b_rdbr</vt:lpstr>
      <vt:lpstr>b_rdrc</vt:lpstr>
      <vt:lpstr>b_TPostPriceTab</vt:lpstr>
      <vt:lpstr>b_TPosts</vt:lpstr>
      <vt:lpstr>batten_total</vt:lpstr>
      <vt:lpstr>Blackout_blind__Ash__Inside</vt:lpstr>
      <vt:lpstr>BuildOutOptions</vt:lpstr>
      <vt:lpstr>BuildOutSize</vt:lpstr>
      <vt:lpstr>ce_BattenPriceTab</vt:lpstr>
      <vt:lpstr>ce_BlackoutPriceTab</vt:lpstr>
      <vt:lpstr>ce_brc</vt:lpstr>
      <vt:lpstr>ce_bt</vt:lpstr>
      <vt:lpstr>ce_CCL</vt:lpstr>
      <vt:lpstr>ce_CF</vt:lpstr>
      <vt:lpstr>ce_CL</vt:lpstr>
      <vt:lpstr>ce_colourpricetab</vt:lpstr>
      <vt:lpstr>ce_Config</vt:lpstr>
      <vt:lpstr>ce_CT</vt:lpstr>
      <vt:lpstr>ce_FFCF</vt:lpstr>
      <vt:lpstr>ce_FramePriceTab</vt:lpstr>
      <vt:lpstr>ce_ft</vt:lpstr>
      <vt:lpstr>ce_fttrack</vt:lpstr>
      <vt:lpstr>ce_Gloss</vt:lpstr>
      <vt:lpstr>ce_GlossPriceTab</vt:lpstr>
      <vt:lpstr>ce_hc</vt:lpstr>
      <vt:lpstr>ce_hcPriceTab</vt:lpstr>
      <vt:lpstr>ce_laths</vt:lpstr>
      <vt:lpstr>ce_lv</vt:lpstr>
      <vt:lpstr>ce_lvTransTab</vt:lpstr>
      <vt:lpstr>ce_M_T</vt:lpstr>
      <vt:lpstr>ce_M_T_PriceTab</vt:lpstr>
      <vt:lpstr>ce_NoRcLv</vt:lpstr>
      <vt:lpstr>ce_oldcolourpricetab</vt:lpstr>
      <vt:lpstr>ce_OpenBPLv</vt:lpstr>
      <vt:lpstr>ce_rd</vt:lpstr>
      <vt:lpstr>ce_rd1</vt:lpstr>
      <vt:lpstr>ce_rdbr</vt:lpstr>
      <vt:lpstr>ce_rdrc</vt:lpstr>
      <vt:lpstr>ce_TPostPriceTab</vt:lpstr>
      <vt:lpstr>ce_TPosts</vt:lpstr>
      <vt:lpstr>co_BattenPriceTab</vt:lpstr>
      <vt:lpstr>co_BlackoutPriceTab</vt:lpstr>
      <vt:lpstr>co_BPCF</vt:lpstr>
      <vt:lpstr>co_BPosts</vt:lpstr>
      <vt:lpstr>co_brc</vt:lpstr>
      <vt:lpstr>co_bt</vt:lpstr>
      <vt:lpstr>co_CF</vt:lpstr>
      <vt:lpstr>co_CL</vt:lpstr>
      <vt:lpstr>co_colourpricetab</vt:lpstr>
      <vt:lpstr>co_Config</vt:lpstr>
      <vt:lpstr>co_CPosts</vt:lpstr>
      <vt:lpstr>co_CT</vt:lpstr>
      <vt:lpstr>co_FFCF</vt:lpstr>
      <vt:lpstr>co_FramePriceTab</vt:lpstr>
      <vt:lpstr>co_FramePriceTabOld</vt:lpstr>
      <vt:lpstr>co_ft</vt:lpstr>
      <vt:lpstr>co_ftOld</vt:lpstr>
      <vt:lpstr>co_fttrack</vt:lpstr>
      <vt:lpstr>co_fttrackOld</vt:lpstr>
      <vt:lpstr>co_Gloss</vt:lpstr>
      <vt:lpstr>co_GlossPriceTab</vt:lpstr>
      <vt:lpstr>co_hc</vt:lpstr>
      <vt:lpstr>co_hcPriceTab</vt:lpstr>
      <vt:lpstr>co_laths</vt:lpstr>
      <vt:lpstr>co_lv</vt:lpstr>
      <vt:lpstr>co_lvTransTab</vt:lpstr>
      <vt:lpstr>co_M_T</vt:lpstr>
      <vt:lpstr>co_M_T_PriceTab</vt:lpstr>
      <vt:lpstr>co_NoRcLv</vt:lpstr>
      <vt:lpstr>co_oldcolourpricetab</vt:lpstr>
      <vt:lpstr>co_OpenBPLv</vt:lpstr>
      <vt:lpstr>co_rd</vt:lpstr>
      <vt:lpstr>co_rd1</vt:lpstr>
      <vt:lpstr>co_rdbr</vt:lpstr>
      <vt:lpstr>co_rdrc</vt:lpstr>
      <vt:lpstr>co_ShapePriceTab</vt:lpstr>
      <vt:lpstr>co_TPostPriceTab</vt:lpstr>
      <vt:lpstr>co_TPostPriceTabOld</vt:lpstr>
      <vt:lpstr>co_TPosts</vt:lpstr>
      <vt:lpstr>co_TPostsOld</vt:lpstr>
      <vt:lpstr>cp_BattenPriceTab</vt:lpstr>
      <vt:lpstr>cp_BlackoutPriceTab</vt:lpstr>
      <vt:lpstr>cp_BPCF</vt:lpstr>
      <vt:lpstr>cp_BPosts</vt:lpstr>
      <vt:lpstr>cp_brc</vt:lpstr>
      <vt:lpstr>cp_bt</vt:lpstr>
      <vt:lpstr>cp_CF</vt:lpstr>
      <vt:lpstr>cp_CL</vt:lpstr>
      <vt:lpstr>cp_colourpricetab</vt:lpstr>
      <vt:lpstr>cp_Config</vt:lpstr>
      <vt:lpstr>cp_CPosts</vt:lpstr>
      <vt:lpstr>cp_CT</vt:lpstr>
      <vt:lpstr>cp_FFCF</vt:lpstr>
      <vt:lpstr>cp_FramePriceTab</vt:lpstr>
      <vt:lpstr>cp_ft</vt:lpstr>
      <vt:lpstr>cp_fttrack</vt:lpstr>
      <vt:lpstr>cp_Gloss</vt:lpstr>
      <vt:lpstr>cp_GlossPriceTab</vt:lpstr>
      <vt:lpstr>cp_hc</vt:lpstr>
      <vt:lpstr>cp_hcPriceTab</vt:lpstr>
      <vt:lpstr>cp_laths</vt:lpstr>
      <vt:lpstr>cp_lv</vt:lpstr>
      <vt:lpstr>cp_lvTransTab</vt:lpstr>
      <vt:lpstr>cp_M_T</vt:lpstr>
      <vt:lpstr>cp_M_T_PriceTab</vt:lpstr>
      <vt:lpstr>cp_NoRcLv</vt:lpstr>
      <vt:lpstr>cp_OpenBPLv</vt:lpstr>
      <vt:lpstr>cp_rd</vt:lpstr>
      <vt:lpstr>cp_rd1</vt:lpstr>
      <vt:lpstr>cp_rdbr</vt:lpstr>
      <vt:lpstr>cp_rdrc</vt:lpstr>
      <vt:lpstr>cp_ShapePriceTab</vt:lpstr>
      <vt:lpstr>cp_TPostPriceTab</vt:lpstr>
      <vt:lpstr>cp_TPosts</vt:lpstr>
      <vt:lpstr>cr_BattenPriceTab</vt:lpstr>
      <vt:lpstr>cr_BlackoutPriceTab</vt:lpstr>
      <vt:lpstr>cr_BPCF</vt:lpstr>
      <vt:lpstr>cr_BPosts</vt:lpstr>
      <vt:lpstr>cr_brc</vt:lpstr>
      <vt:lpstr>cr_bt</vt:lpstr>
      <vt:lpstr>cr_CF</vt:lpstr>
      <vt:lpstr>cr_CL</vt:lpstr>
      <vt:lpstr>cr_colourpricetab</vt:lpstr>
      <vt:lpstr>cr_Config</vt:lpstr>
      <vt:lpstr>cr_CPosts</vt:lpstr>
      <vt:lpstr>cr_CT</vt:lpstr>
      <vt:lpstr>cr_FFCF</vt:lpstr>
      <vt:lpstr>cr_FramePriceTab</vt:lpstr>
      <vt:lpstr>cr_ft</vt:lpstr>
      <vt:lpstr>cr_fttrack</vt:lpstr>
      <vt:lpstr>cr_Gloss</vt:lpstr>
      <vt:lpstr>cr_GlossPriceTab</vt:lpstr>
      <vt:lpstr>cr_hc</vt:lpstr>
      <vt:lpstr>cr_hcPriceTab</vt:lpstr>
      <vt:lpstr>cr_laths</vt:lpstr>
      <vt:lpstr>cr_lv</vt:lpstr>
      <vt:lpstr>cr_lvTransTab</vt:lpstr>
      <vt:lpstr>cr_M_T</vt:lpstr>
      <vt:lpstr>cr_M_T_PriceTab</vt:lpstr>
      <vt:lpstr>cr_NoRcLv</vt:lpstr>
      <vt:lpstr>cr_oldcolourpricetab</vt:lpstr>
      <vt:lpstr>cr_OpenBPLv</vt:lpstr>
      <vt:lpstr>cr_rd</vt:lpstr>
      <vt:lpstr>cr_rd1</vt:lpstr>
      <vt:lpstr>cr_rdbr</vt:lpstr>
      <vt:lpstr>cr_rdrc</vt:lpstr>
      <vt:lpstr>cr_ShapePriceTab</vt:lpstr>
      <vt:lpstr>cr_TPostPriceTab</vt:lpstr>
      <vt:lpstr>cr_TPosts</vt:lpstr>
      <vt:lpstr>Customer_name</vt:lpstr>
      <vt:lpstr>Dealer_Name</vt:lpstr>
      <vt:lpstr>Dealer_Order_no</vt:lpstr>
      <vt:lpstr>DeliverAddress</vt:lpstr>
      <vt:lpstr>DeliveryAddressChoice</vt:lpstr>
      <vt:lpstr>DeliveryCharge</vt:lpstr>
      <vt:lpstr>DeliveryChoice</vt:lpstr>
      <vt:lpstr>DeliveryPriceTab</vt:lpstr>
      <vt:lpstr>deliverytype</vt:lpstr>
      <vt:lpstr>Discount</vt:lpstr>
      <vt:lpstr>DuluxColours</vt:lpstr>
      <vt:lpstr>EDR_Action1</vt:lpstr>
      <vt:lpstr>EDR_Action10</vt:lpstr>
      <vt:lpstr>EDR_Action11</vt:lpstr>
      <vt:lpstr>EDR_Action12</vt:lpstr>
      <vt:lpstr>EDR_Action13</vt:lpstr>
      <vt:lpstr>EDR_Action14</vt:lpstr>
      <vt:lpstr>EDR_Action15</vt:lpstr>
      <vt:lpstr>EDR_Action16</vt:lpstr>
      <vt:lpstr>EDR_Action17</vt:lpstr>
      <vt:lpstr>EDR_Action18</vt:lpstr>
      <vt:lpstr>EDR_Action19</vt:lpstr>
      <vt:lpstr>EDR_Action2</vt:lpstr>
      <vt:lpstr>EDR_Action20</vt:lpstr>
      <vt:lpstr>EDR_Action3</vt:lpstr>
      <vt:lpstr>EDR_Action4</vt:lpstr>
      <vt:lpstr>EDR_Action5</vt:lpstr>
      <vt:lpstr>EDR_Action6</vt:lpstr>
      <vt:lpstr>EDR_Action7</vt:lpstr>
      <vt:lpstr>EDR_Action8</vt:lpstr>
      <vt:lpstr>EDR_Action9</vt:lpstr>
      <vt:lpstr>EDR_Date</vt:lpstr>
      <vt:lpstr>EDR_Details1</vt:lpstr>
      <vt:lpstr>EDR_Details10</vt:lpstr>
      <vt:lpstr>EDR_Details11</vt:lpstr>
      <vt:lpstr>EDR_Details12</vt:lpstr>
      <vt:lpstr>EDR_Details13</vt:lpstr>
      <vt:lpstr>EDR_Details14</vt:lpstr>
      <vt:lpstr>EDR_Details15</vt:lpstr>
      <vt:lpstr>EDR_Details16</vt:lpstr>
      <vt:lpstr>EDR_Details17</vt:lpstr>
      <vt:lpstr>EDR_Details18</vt:lpstr>
      <vt:lpstr>EDR_Details19</vt:lpstr>
      <vt:lpstr>EDR_Details2</vt:lpstr>
      <vt:lpstr>EDR_Details20</vt:lpstr>
      <vt:lpstr>EDR_Details3</vt:lpstr>
      <vt:lpstr>EDR_Details4</vt:lpstr>
      <vt:lpstr>EDR_Details5</vt:lpstr>
      <vt:lpstr>EDR_Details6</vt:lpstr>
      <vt:lpstr>EDR_Details7</vt:lpstr>
      <vt:lpstr>EDR_Details8</vt:lpstr>
      <vt:lpstr>EDR_Details9</vt:lpstr>
      <vt:lpstr>EDR_Done1</vt:lpstr>
      <vt:lpstr>EDR_Done10</vt:lpstr>
      <vt:lpstr>EDR_Done11</vt:lpstr>
      <vt:lpstr>EDR_Done12</vt:lpstr>
      <vt:lpstr>EDR_Done13</vt:lpstr>
      <vt:lpstr>EDR_Done14</vt:lpstr>
      <vt:lpstr>EDR_Done15</vt:lpstr>
      <vt:lpstr>EDR_Done16</vt:lpstr>
      <vt:lpstr>EDR_Done17</vt:lpstr>
      <vt:lpstr>EDR_Done18</vt:lpstr>
      <vt:lpstr>EDR_Done19</vt:lpstr>
      <vt:lpstr>EDR_Done2</vt:lpstr>
      <vt:lpstr>EDR_Done20</vt:lpstr>
      <vt:lpstr>EDR_Done3</vt:lpstr>
      <vt:lpstr>EDR_Done4</vt:lpstr>
      <vt:lpstr>EDR_Done5</vt:lpstr>
      <vt:lpstr>EDR_Done6</vt:lpstr>
      <vt:lpstr>EDR_Done7</vt:lpstr>
      <vt:lpstr>EDR_Done8</vt:lpstr>
      <vt:lpstr>EDR_Done9</vt:lpstr>
      <vt:lpstr>EDR_Line1</vt:lpstr>
      <vt:lpstr>EDR_Line10</vt:lpstr>
      <vt:lpstr>EDR_Line11</vt:lpstr>
      <vt:lpstr>EDR_Line12</vt:lpstr>
      <vt:lpstr>EDR_Line13</vt:lpstr>
      <vt:lpstr>EDR_Line14</vt:lpstr>
      <vt:lpstr>EDR_Line15</vt:lpstr>
      <vt:lpstr>EDR_Line16</vt:lpstr>
      <vt:lpstr>EDR_Line17</vt:lpstr>
      <vt:lpstr>EDR_Line18</vt:lpstr>
      <vt:lpstr>EDR_Line19</vt:lpstr>
      <vt:lpstr>EDR_Line2</vt:lpstr>
      <vt:lpstr>EDR_Line20</vt:lpstr>
      <vt:lpstr>EDR_Line3</vt:lpstr>
      <vt:lpstr>EDR_Line4</vt:lpstr>
      <vt:lpstr>EDR_Line5</vt:lpstr>
      <vt:lpstr>EDR_Line6</vt:lpstr>
      <vt:lpstr>EDR_Line7</vt:lpstr>
      <vt:lpstr>EDR_Line8</vt:lpstr>
      <vt:lpstr>EDR_Line9</vt:lpstr>
      <vt:lpstr>EDRReason1</vt:lpstr>
      <vt:lpstr>EDRReason10</vt:lpstr>
      <vt:lpstr>EDRReason11</vt:lpstr>
      <vt:lpstr>EDRReason12</vt:lpstr>
      <vt:lpstr>EDRReason13</vt:lpstr>
      <vt:lpstr>EDRReason14</vt:lpstr>
      <vt:lpstr>EDRReason15</vt:lpstr>
      <vt:lpstr>EDRReason16</vt:lpstr>
      <vt:lpstr>EDRReason17</vt:lpstr>
      <vt:lpstr>EDRReason18</vt:lpstr>
      <vt:lpstr>EDRReason19</vt:lpstr>
      <vt:lpstr>EDRReason2</vt:lpstr>
      <vt:lpstr>EDRReason20</vt:lpstr>
      <vt:lpstr>EDRReason3</vt:lpstr>
      <vt:lpstr>EDRReason4</vt:lpstr>
      <vt:lpstr>EDRReason5</vt:lpstr>
      <vt:lpstr>EDRReason6</vt:lpstr>
      <vt:lpstr>EDRReason7</vt:lpstr>
      <vt:lpstr>EDRReason8</vt:lpstr>
      <vt:lpstr>EDRReason9</vt:lpstr>
      <vt:lpstr>Ex_Stiles</vt:lpstr>
      <vt:lpstr>f_BattenPriceTab</vt:lpstr>
      <vt:lpstr>f_BlackoutPriceTab</vt:lpstr>
      <vt:lpstr>f_BPCF</vt:lpstr>
      <vt:lpstr>f_BPosts</vt:lpstr>
      <vt:lpstr>f_brc</vt:lpstr>
      <vt:lpstr>f_bt</vt:lpstr>
      <vt:lpstr>f_CCL</vt:lpstr>
      <vt:lpstr>f_CF</vt:lpstr>
      <vt:lpstr>f_CL</vt:lpstr>
      <vt:lpstr>f_colourpricetab</vt:lpstr>
      <vt:lpstr>f_Config</vt:lpstr>
      <vt:lpstr>f_CPosts</vt:lpstr>
      <vt:lpstr>f_CT</vt:lpstr>
      <vt:lpstr>f_FFCF</vt:lpstr>
      <vt:lpstr>f_FramePriceTab</vt:lpstr>
      <vt:lpstr>f_ft</vt:lpstr>
      <vt:lpstr>f_fttrack</vt:lpstr>
      <vt:lpstr>f_Gloss</vt:lpstr>
      <vt:lpstr>f_GlossPriceTab</vt:lpstr>
      <vt:lpstr>f_hc</vt:lpstr>
      <vt:lpstr>f_hcPriceTab</vt:lpstr>
      <vt:lpstr>f_laths</vt:lpstr>
      <vt:lpstr>f_lv</vt:lpstr>
      <vt:lpstr>f_lvTranstab</vt:lpstr>
      <vt:lpstr>f_M_T</vt:lpstr>
      <vt:lpstr>f_M_T_PriceTab</vt:lpstr>
      <vt:lpstr>f_NoRcLv</vt:lpstr>
      <vt:lpstr>f_OPenBPLv</vt:lpstr>
      <vt:lpstr>f_rd</vt:lpstr>
      <vt:lpstr>f_rd1</vt:lpstr>
      <vt:lpstr>f_rdbr</vt:lpstr>
      <vt:lpstr>f_rdrc</vt:lpstr>
      <vt:lpstr>F_ShapePriceTab</vt:lpstr>
      <vt:lpstr>f_SpareLouvrePrice</vt:lpstr>
      <vt:lpstr>f_TPostPriceTab</vt:lpstr>
      <vt:lpstr>f_Tposts</vt:lpstr>
      <vt:lpstr>fakroM_T</vt:lpstr>
      <vt:lpstr>Final_Date</vt:lpstr>
      <vt:lpstr>Form_Name</vt:lpstr>
      <vt:lpstr>Form_Type</vt:lpstr>
      <vt:lpstr>Form_type_tab</vt:lpstr>
      <vt:lpstr>Form_Types</vt:lpstr>
      <vt:lpstr>Form_Types_OP</vt:lpstr>
      <vt:lpstr>Form_Types_with_Ex</vt:lpstr>
      <vt:lpstr>FormTypes</vt:lpstr>
      <vt:lpstr>FreeFloatPanels</vt:lpstr>
      <vt:lpstr>Freight_Charge</vt:lpstr>
      <vt:lpstr>ItemsAtCost</vt:lpstr>
      <vt:lpstr>ItemsDiscounted</vt:lpstr>
      <vt:lpstr>ItemsTrade</vt:lpstr>
      <vt:lpstr>l_BattenPriceTab</vt:lpstr>
      <vt:lpstr>l_BlackoutPriceTab</vt:lpstr>
      <vt:lpstr>l_brc</vt:lpstr>
      <vt:lpstr>l_bt</vt:lpstr>
      <vt:lpstr>l_CCL</vt:lpstr>
      <vt:lpstr>l_CF</vt:lpstr>
      <vt:lpstr>l_CL</vt:lpstr>
      <vt:lpstr>l_colourpricetab</vt:lpstr>
      <vt:lpstr>l_Config</vt:lpstr>
      <vt:lpstr>l_CT</vt:lpstr>
      <vt:lpstr>l_FFCF</vt:lpstr>
      <vt:lpstr>l_FramePriceTab</vt:lpstr>
      <vt:lpstr>l_ft</vt:lpstr>
      <vt:lpstr>l_fttrack</vt:lpstr>
      <vt:lpstr>l_Gloss</vt:lpstr>
      <vt:lpstr>l_GlossPriceTab</vt:lpstr>
      <vt:lpstr>l_hc</vt:lpstr>
      <vt:lpstr>l_hcPriceTab</vt:lpstr>
      <vt:lpstr>l_lv</vt:lpstr>
      <vt:lpstr>l_lvTranstab</vt:lpstr>
      <vt:lpstr>l_M_T</vt:lpstr>
      <vt:lpstr>l_M_T_PriceTab</vt:lpstr>
      <vt:lpstr>l_NoRcLv</vt:lpstr>
      <vt:lpstr>l_OPenBPLv</vt:lpstr>
      <vt:lpstr>l_rd</vt:lpstr>
      <vt:lpstr>l_rd1</vt:lpstr>
      <vt:lpstr>l_rdbr</vt:lpstr>
      <vt:lpstr>l_rdrc</vt:lpstr>
      <vt:lpstr>l_TPostPriceTab</vt:lpstr>
      <vt:lpstr>l_Tposts</vt:lpstr>
      <vt:lpstr>Legheight_tab</vt:lpstr>
      <vt:lpstr>LookupNo</vt:lpstr>
      <vt:lpstr>Measure</vt:lpstr>
      <vt:lpstr>Mounting_Factor_Tab</vt:lpstr>
      <vt:lpstr>N</vt:lpstr>
      <vt:lpstr>Net_Freight_Value</vt:lpstr>
      <vt:lpstr>Net_Product_Value</vt:lpstr>
      <vt:lpstr>NetDelivery</vt:lpstr>
      <vt:lpstr>No_Stiles</vt:lpstr>
      <vt:lpstr>Notes</vt:lpstr>
      <vt:lpstr>Order_Date</vt:lpstr>
      <vt:lpstr>p_BattenPriceTab</vt:lpstr>
      <vt:lpstr>p_BPCF</vt:lpstr>
      <vt:lpstr>p_BPosts</vt:lpstr>
      <vt:lpstr>p_bt</vt:lpstr>
      <vt:lpstr>p_CF</vt:lpstr>
      <vt:lpstr>p_CL</vt:lpstr>
      <vt:lpstr>p_colourpricetab</vt:lpstr>
      <vt:lpstr>p_Config</vt:lpstr>
      <vt:lpstr>p_CPosts</vt:lpstr>
      <vt:lpstr>p_CT</vt:lpstr>
      <vt:lpstr>p_FFCF</vt:lpstr>
      <vt:lpstr>p_FramePriceTab</vt:lpstr>
      <vt:lpstr>p_ft</vt:lpstr>
      <vt:lpstr>p_fttrack</vt:lpstr>
      <vt:lpstr>p_Gloss</vt:lpstr>
      <vt:lpstr>p_GlossPriceTab</vt:lpstr>
      <vt:lpstr>p_hc</vt:lpstr>
      <vt:lpstr>p_hcPriceTab</vt:lpstr>
      <vt:lpstr>p_laths</vt:lpstr>
      <vt:lpstr>p_lv</vt:lpstr>
      <vt:lpstr>p_lvTransTab</vt:lpstr>
      <vt:lpstr>p_M_T</vt:lpstr>
      <vt:lpstr>p_M_T_PriceTab</vt:lpstr>
      <vt:lpstr>p_NoRcLv</vt:lpstr>
      <vt:lpstr>p_oldcolourpricetab</vt:lpstr>
      <vt:lpstr>p_OpenBPLv</vt:lpstr>
      <vt:lpstr>p_rd</vt:lpstr>
      <vt:lpstr>p_rd1</vt:lpstr>
      <vt:lpstr>p_rdbr</vt:lpstr>
      <vt:lpstr>p_ShapePriceTab</vt:lpstr>
      <vt:lpstr>p_TPostPriceTab</vt:lpstr>
      <vt:lpstr>p_TPosts</vt:lpstr>
      <vt:lpstr>PanelsSqM</vt:lpstr>
      <vt:lpstr>prefix</vt:lpstr>
      <vt:lpstr>EDR!Print_Area</vt:lpstr>
      <vt:lpstr>'Installation Spec'!Print_Area</vt:lpstr>
      <vt:lpstr>'Purchase Order SCRAFT'!Print_Area</vt:lpstr>
      <vt:lpstr>'Purchase Order SCRAFT'!Print_Titles</vt:lpstr>
      <vt:lpstr>Promo_End_Date</vt:lpstr>
      <vt:lpstr>Promo_formula</vt:lpstr>
      <vt:lpstr>PromoDiscounts</vt:lpstr>
      <vt:lpstr>PromoStartDate</vt:lpstr>
      <vt:lpstr>PromoText</vt:lpstr>
      <vt:lpstr>RC_Batt_Cost</vt:lpstr>
      <vt:lpstr>RC_Handset_Cost</vt:lpstr>
      <vt:lpstr>RC_included</vt:lpstr>
      <vt:lpstr>RC_Solar_Cost</vt:lpstr>
      <vt:lpstr>s_BattenPriceTab</vt:lpstr>
      <vt:lpstr>s_BlackoutPriceTab</vt:lpstr>
      <vt:lpstr>s_BPCF</vt:lpstr>
      <vt:lpstr>s_BPosts</vt:lpstr>
      <vt:lpstr>s_brc</vt:lpstr>
      <vt:lpstr>s_bt</vt:lpstr>
      <vt:lpstr>s_CCL</vt:lpstr>
      <vt:lpstr>s_CF</vt:lpstr>
      <vt:lpstr>s_CL</vt:lpstr>
      <vt:lpstr>s_colourpricetab</vt:lpstr>
      <vt:lpstr>s_Config</vt:lpstr>
      <vt:lpstr>s_CPosts</vt:lpstr>
      <vt:lpstr>s_CT</vt:lpstr>
      <vt:lpstr>s_FFCF</vt:lpstr>
      <vt:lpstr>s_FramePriceTab</vt:lpstr>
      <vt:lpstr>s_ft</vt:lpstr>
      <vt:lpstr>s_fttrack</vt:lpstr>
      <vt:lpstr>s_Gloss</vt:lpstr>
      <vt:lpstr>s_GlossPriceTab</vt:lpstr>
      <vt:lpstr>s_hc</vt:lpstr>
      <vt:lpstr>s_hcPriceTab</vt:lpstr>
      <vt:lpstr>s_laths</vt:lpstr>
      <vt:lpstr>s_lv</vt:lpstr>
      <vt:lpstr>s_lvTransTab</vt:lpstr>
      <vt:lpstr>s_M_T</vt:lpstr>
      <vt:lpstr>s_M_T_PriceTab</vt:lpstr>
      <vt:lpstr>s_NoRcLv</vt:lpstr>
      <vt:lpstr>s_OpenBPLv</vt:lpstr>
      <vt:lpstr>s_rd</vt:lpstr>
      <vt:lpstr>s_rd1</vt:lpstr>
      <vt:lpstr>s_rdbr</vt:lpstr>
      <vt:lpstr>s_rdrc</vt:lpstr>
      <vt:lpstr>s_ShapePriceTab</vt:lpstr>
      <vt:lpstr>s_TPostPriceTab</vt:lpstr>
      <vt:lpstr>s_TPosts</vt:lpstr>
      <vt:lpstr>SC_ACno</vt:lpstr>
      <vt:lpstr>SC_EDR_no</vt:lpstr>
      <vt:lpstr>SC_Order_No</vt:lpstr>
      <vt:lpstr>Sides</vt:lpstr>
      <vt:lpstr>Sides1</vt:lpstr>
      <vt:lpstr>Sides3</vt:lpstr>
      <vt:lpstr>SidesCafe</vt:lpstr>
      <vt:lpstr>SidesCodes</vt:lpstr>
      <vt:lpstr>SidesIndexTab</vt:lpstr>
      <vt:lpstr>SidesTab</vt:lpstr>
      <vt:lpstr>sparelouvres</vt:lpstr>
      <vt:lpstr>ss_BattenPriceTab</vt:lpstr>
      <vt:lpstr>ss_bt</vt:lpstr>
      <vt:lpstr>ss_CFa</vt:lpstr>
      <vt:lpstr>ss_CFb</vt:lpstr>
      <vt:lpstr>ss_CFc</vt:lpstr>
      <vt:lpstr>ss_CFd</vt:lpstr>
      <vt:lpstr>ss_CFe</vt:lpstr>
      <vt:lpstr>ss_CFf</vt:lpstr>
      <vt:lpstr>ss_CFg</vt:lpstr>
      <vt:lpstr>ss_CL</vt:lpstr>
      <vt:lpstr>ss_CLa</vt:lpstr>
      <vt:lpstr>ss_CLb</vt:lpstr>
      <vt:lpstr>ss_ColourPriceTab</vt:lpstr>
      <vt:lpstr>ss_GlossPriceTab</vt:lpstr>
      <vt:lpstr>ss_laths</vt:lpstr>
      <vt:lpstr>ss_lv</vt:lpstr>
      <vt:lpstr>ss_lvTransTab</vt:lpstr>
      <vt:lpstr>ss_M_T</vt:lpstr>
      <vt:lpstr>ss_M_T_PriceTab</vt:lpstr>
      <vt:lpstr>ss_ShapePriceTab</vt:lpstr>
      <vt:lpstr>SSFormType</vt:lpstr>
      <vt:lpstr>StandardShapes</vt:lpstr>
      <vt:lpstr>StdBattens</vt:lpstr>
      <vt:lpstr>sub_total</vt:lpstr>
      <vt:lpstr>SwatchColours</vt:lpstr>
      <vt:lpstr>Tilt_All</vt:lpstr>
      <vt:lpstr>Tilt_No</vt:lpstr>
      <vt:lpstr>Tilt_Opt</vt:lpstr>
      <vt:lpstr>Tilt_S</vt:lpstr>
      <vt:lpstr>Tilt_T</vt:lpstr>
      <vt:lpstr>TiltRodPriceTab</vt:lpstr>
      <vt:lpstr>Title</vt:lpstr>
      <vt:lpstr>Total_Value</vt:lpstr>
      <vt:lpstr>TotalEDRValue</vt:lpstr>
      <vt:lpstr>TotCuM</vt:lpstr>
      <vt:lpstr>TotSqM</vt:lpstr>
      <vt:lpstr>VAT</vt:lpstr>
      <vt:lpstr>VAT_rate</vt:lpstr>
      <vt:lpstr>VAT_Text</vt:lpstr>
      <vt:lpstr>Version</vt:lpstr>
      <vt:lpstr>wood_type</vt:lpstr>
      <vt:lpstr>Wood_type_tab</vt:lpstr>
      <vt:lpstr>WoodTypeDiscTab</vt:lpstr>
      <vt:lpstr>Woodtypes</vt:lpstr>
      <vt:lpstr>WoodTypesOld</vt:lpstr>
      <vt:lpstr>YN</vt:lpstr>
    </vt:vector>
  </TitlesOfParts>
  <Manager>David Cooksey</Manager>
  <Company>S:CRAFT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Scraft Order Card</dc:title>
  <dc:subject>Shutter Order Form</dc:subject>
  <dc:creator>Laurence Martin</dc:creator>
  <dc:description>vH002</dc:description>
  <cp:lastModifiedBy>Leeana Taft</cp:lastModifiedBy>
  <cp:lastPrinted>2018-11-08T15:49:10Z</cp:lastPrinted>
  <dcterms:created xsi:type="dcterms:W3CDTF">2002-11-12T12:52:12Z</dcterms:created>
  <dcterms:modified xsi:type="dcterms:W3CDTF">2018-11-08T15:49:19Z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i4>14716199</vt:i4>
  </property>
  <property fmtid="{D5CDD505-2E9C-101B-9397-08002B2CF9AE}" pid="3" name="ContentTypeId">
    <vt:lpwstr>0x01010083B20663067D104F808448A2CE098101</vt:lpwstr>
  </property>
  <property fmtid="{D5CDD505-2E9C-101B-9397-08002B2CF9AE}" pid="4" name="Order">
    <vt:r8>10045600</vt:r8>
  </property>
</Properties>
</file>