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interiorsltd-my.sharepoint.com/personal/jacqui_cpinteriors_je/Documents/Docs for BM/Dec 2020/"/>
    </mc:Choice>
  </mc:AlternateContent>
  <xr:revisionPtr revIDLastSave="99" documentId="8_{BF57DECA-FE77-4891-A20C-FBAC4C1DE55D}" xr6:coauthVersionLast="45" xr6:coauthVersionMax="45" xr10:uidLastSave="{845C09E8-8D65-4A39-B2E8-4D1B7232FE49}"/>
  <bookViews>
    <workbookView xWindow="-28920" yWindow="-120" windowWidth="29040" windowHeight="15840" xr2:uid="{AB86CC72-B086-494D-9E78-2286F2BCC31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0" i="1" l="1"/>
  <c r="G20" i="1"/>
  <c r="I19" i="1"/>
  <c r="G19" i="1"/>
  <c r="I15" i="1"/>
  <c r="G15" i="1"/>
  <c r="I29" i="1"/>
  <c r="I30" i="1"/>
  <c r="I24" i="1"/>
  <c r="G29" i="1"/>
  <c r="I28" i="1"/>
  <c r="G28" i="1"/>
  <c r="G24" i="1"/>
  <c r="I11" i="1"/>
  <c r="G11" i="1"/>
  <c r="I10" i="1"/>
  <c r="G10" i="1"/>
  <c r="G6" i="1"/>
  <c r="K10" i="1" l="1"/>
  <c r="K9" i="1"/>
  <c r="K11" i="1" s="1"/>
  <c r="K8" i="1"/>
  <c r="K7" i="1"/>
  <c r="K6" i="1"/>
  <c r="K5" i="1"/>
  <c r="D31" i="1"/>
  <c r="B6" i="1" l="1"/>
  <c r="B7" i="1" s="1"/>
  <c r="F39" i="1"/>
  <c r="F40" i="1" s="1"/>
  <c r="C23" i="1"/>
  <c r="C24" i="1" s="1"/>
  <c r="N6" i="1" s="1"/>
  <c r="B24" i="1"/>
  <c r="B25" i="1" s="1"/>
  <c r="B26" i="1" s="1"/>
  <c r="C14" i="1"/>
  <c r="M5" i="1" s="1"/>
  <c r="B15" i="1"/>
  <c r="B16" i="1" s="1"/>
  <c r="B17" i="1" s="1"/>
  <c r="C5" i="1"/>
  <c r="C6" i="1" s="1"/>
  <c r="C7" i="1" s="1"/>
  <c r="C8" i="1" s="1"/>
  <c r="H41" i="1"/>
  <c r="D35" i="1"/>
  <c r="D36" i="1" s="1"/>
  <c r="D37" i="1" s="1"/>
  <c r="D38" i="1" s="1"/>
  <c r="D39" i="1" s="1"/>
  <c r="C35" i="1"/>
  <c r="C36" i="1" s="1"/>
  <c r="C37" i="1" s="1"/>
  <c r="B35" i="1"/>
  <c r="B36" i="1" s="1"/>
  <c r="B37" i="1" s="1"/>
  <c r="E34" i="1"/>
  <c r="F5" i="1" l="1"/>
  <c r="F24" i="1"/>
  <c r="F7" i="1"/>
  <c r="F14" i="1"/>
  <c r="B8" i="1"/>
  <c r="F6" i="1"/>
  <c r="F23" i="1"/>
  <c r="C25" i="1"/>
  <c r="C26" i="1" s="1"/>
  <c r="N8" i="1" s="1"/>
  <c r="N5" i="1"/>
  <c r="N7" i="1" s="1"/>
  <c r="C15" i="1"/>
  <c r="F15" i="1" s="1"/>
  <c r="C9" i="1"/>
  <c r="B18" i="1"/>
  <c r="B38" i="1"/>
  <c r="B39" i="1" s="1"/>
  <c r="B40" i="1" s="1"/>
  <c r="E36" i="1"/>
  <c r="E35" i="1"/>
  <c r="E37" i="1"/>
  <c r="D40" i="1"/>
  <c r="C38" i="1"/>
  <c r="O5" i="1" l="1"/>
  <c r="P5" i="1" s="1"/>
  <c r="F26" i="1"/>
  <c r="B27" i="1"/>
  <c r="F25" i="1"/>
  <c r="B9" i="1"/>
  <c r="F9" i="1" s="1"/>
  <c r="F8" i="1"/>
  <c r="C27" i="1"/>
  <c r="N9" i="1" s="1"/>
  <c r="C10" i="1"/>
  <c r="C16" i="1"/>
  <c r="F16" i="1" s="1"/>
  <c r="M6" i="1"/>
  <c r="O6" i="1" s="1"/>
  <c r="E38" i="1"/>
  <c r="B19" i="1"/>
  <c r="C39" i="1"/>
  <c r="E39" i="1" s="1"/>
  <c r="F27" i="1" l="1"/>
  <c r="P6" i="1"/>
  <c r="B28" i="1"/>
  <c r="B29" i="1" s="1"/>
  <c r="B20" i="1"/>
  <c r="B10" i="1"/>
  <c r="C28" i="1"/>
  <c r="N10" i="1" s="1"/>
  <c r="N11" i="1" s="1"/>
  <c r="C11" i="1"/>
  <c r="M7" i="1"/>
  <c r="O7" i="1" s="1"/>
  <c r="C17" i="1"/>
  <c r="C40" i="1"/>
  <c r="E40" i="1" s="1"/>
  <c r="F28" i="1" l="1"/>
  <c r="M8" i="1"/>
  <c r="F17" i="1"/>
  <c r="B11" i="1"/>
  <c r="F11" i="1" s="1"/>
  <c r="F10" i="1"/>
  <c r="C29" i="1"/>
  <c r="F29" i="1" s="1"/>
  <c r="P7" i="1"/>
  <c r="C18" i="1"/>
  <c r="F18" i="1" s="1"/>
  <c r="O8" i="1" l="1"/>
  <c r="P8" i="1" s="1"/>
  <c r="M9" i="1"/>
  <c r="O9" i="1" s="1"/>
  <c r="C19" i="1"/>
  <c r="F19" i="1" s="1"/>
  <c r="C20" i="1" l="1"/>
  <c r="F20" i="1" s="1"/>
  <c r="F31" i="1" s="1"/>
  <c r="M10" i="1"/>
  <c r="O10" i="1" s="1"/>
  <c r="P9" i="1"/>
  <c r="M11" i="1" l="1"/>
  <c r="O11" i="1" s="1"/>
  <c r="P11" i="1" l="1"/>
  <c r="P1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Leeana Taft</author>
  </authors>
  <commentList>
    <comment ref="A8" authorId="0" shapeId="0" xr:uid="{087AA0B2-F5BF-4A92-9D38-A5DCD39B98F1}">
      <text>
        <r>
          <rPr>
            <b/>
            <sz val="9"/>
            <color indexed="81"/>
            <rFont val="Tahoma"/>
            <family val="2"/>
          </rPr>
          <t>Leeana Taft:</t>
        </r>
        <r>
          <rPr>
            <sz val="9"/>
            <color indexed="81"/>
            <rFont val="Tahoma"/>
            <family val="2"/>
          </rPr>
          <t xml:space="preserve">
NOT 2.5% as stated
</t>
        </r>
      </text>
    </comment>
  </commentList>
</comments>
</file>

<file path=xl/sharedStrings.xml><?xml version="1.0" encoding="utf-8"?>
<sst xmlns="http://schemas.openxmlformats.org/spreadsheetml/2006/main" count="58" uniqueCount="33">
  <si>
    <t>SO9254</t>
  </si>
  <si>
    <t>less 2.5% disc</t>
  </si>
  <si>
    <t>Less 2.5% ret</t>
  </si>
  <si>
    <t>SO8511</t>
  </si>
  <si>
    <t>Plus GST</t>
  </si>
  <si>
    <t>SO9426</t>
  </si>
  <si>
    <t>Total</t>
  </si>
  <si>
    <t>Per cert 03122020</t>
  </si>
  <si>
    <t>less previously paid 35724.07</t>
  </si>
  <si>
    <t>Less 5% ret</t>
  </si>
  <si>
    <t>cert 03/12/2020</t>
  </si>
  <si>
    <t>Retention  o/s</t>
  </si>
  <si>
    <t>Invoiced</t>
  </si>
  <si>
    <t>Total previous paid</t>
  </si>
  <si>
    <t>Total invoiced</t>
  </si>
  <si>
    <t>chq x 2</t>
  </si>
  <si>
    <t>chq x 1</t>
  </si>
  <si>
    <t xml:space="preserve">chq x 1 </t>
  </si>
  <si>
    <t>Total Previously paid</t>
  </si>
  <si>
    <t xml:space="preserve"> entered on BM</t>
  </si>
  <si>
    <t>This cert 03122020</t>
  </si>
  <si>
    <t>deducted  = 5% not 2.5%  (previous certs state 5%)</t>
  </si>
  <si>
    <t>Larsen - Fairfield</t>
  </si>
  <si>
    <t>total is correct but split not</t>
  </si>
  <si>
    <t>disc entered on BM</t>
  </si>
  <si>
    <t>Adjust GST</t>
  </si>
  <si>
    <t>GST on BM</t>
  </si>
  <si>
    <t>balance on BM</t>
  </si>
  <si>
    <t>Amount o/s as corrected</t>
  </si>
  <si>
    <t>Difference</t>
  </si>
  <si>
    <t>Add to disc</t>
  </si>
  <si>
    <t>GST ADJ MAY BE REPAID ON THESE AMOUNTS (JJ)</t>
  </si>
  <si>
    <t>JJ Adj per LT sp/sheet - 05-01-20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</si>
</sst>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5" tint="-0.249977111117893"/>
      <name val="Century Gothic"/>
      <family val="2"/>
    </font>
    <font>
      <sz val="9"/>
      <color rgb="FFFF0000"/>
      <name val="Century Gothic"/>
      <family val="2"/>
    </font>
    <font>
      <sz val="10"/>
      <color rgb="FFFF0000"/>
      <name val="Century Gothic"/>
      <family val="2"/>
    </font>
    <font>
      <b/>
      <u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10"/>
      <color rgb="FFFF0000"/>
      <name val="Century Gothic"/>
      <family val="2"/>
    </font>
    <font>
      <sz val="10"/>
      <color rgb="FF00B0F0"/>
      <name val="Century Gothic"/>
      <family val="2"/>
    </font>
    <font>
      <b/>
      <sz val="10"/>
      <color theme="9" tint="-0.249977111117893"/>
      <name val="Century Gothic"/>
      <family val="2"/>
    </font>
    <font>
      <i/>
      <sz val="10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9" tint="-0.249977111117893"/>
      <name val="Century Gothic"/>
      <family val="2"/>
    </font>
    <font>
      <sz val="10"/>
      <color theme="5" tint="-0.249977111117893"/>
      <name val="Century Gothic"/>
      <family val="2"/>
    </font>
    <font>
      <b/>
      <i/>
      <sz val="10"/>
      <color theme="5" tint="-0.249977111117893"/>
      <name val="Century Gothic"/>
      <family val="2"/>
    </font>
    <font>
      <sz val="10"/>
      <name val="Century Gothic"/>
      <family val="2"/>
    </font>
    <font>
      <i/>
      <sz val="10"/>
      <color rgb="FFFF0000"/>
      <name val="Century Gothic"/>
      <family val="2"/>
    </font>
    <font>
      <b/>
      <u val="singleAccounting"/>
      <sz val="10"/>
      <color theme="1"/>
      <name val="Century Gothic"/>
      <family val="2"/>
    </font>
    <font>
      <b/>
      <sz val="10"/>
      <color rgb="FF00B0F0"/>
      <name val="Century Gothic"/>
      <family val="2"/>
    </font>
    <font>
      <u/>
      <sz val="10"/>
      <color theme="1"/>
      <name val="Century Gothic"/>
      <family val="2"/>
    </font>
    <font>
      <sz val="10"/>
      <color rgb="FFFF33CC"/>
      <name val="Century Gothic"/>
      <family val="2"/>
    </font>
    <font>
      <sz val="9"/>
      <color theme="1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81">
    <xf numFmtId="0" fontId="0" fillId="0" borderId="0" xfId="0"/>
    <xf numFmtId="0" fontId="4" fillId="0" borderId="3" xfId="0" applyFont="1" applyBorder="1" applyAlignment="1">
      <alignment wrapText="1"/>
    </xf>
    <xf numFmtId="44" fontId="5" fillId="3" borderId="0" xfId="0" applyNumberFormat="1" applyFont="1" applyFill="1" applyBorder="1"/>
    <xf numFmtId="0" fontId="7" fillId="0" borderId="0" xfId="0" applyFont="1"/>
    <xf numFmtId="0" fontId="8" fillId="0" borderId="0" xfId="0" applyFont="1"/>
    <xf numFmtId="0" fontId="9" fillId="0" borderId="0" xfId="0" applyFont="1"/>
    <xf numFmtId="44" fontId="8" fillId="0" borderId="0" xfId="1" applyFont="1"/>
    <xf numFmtId="0" fontId="8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10" fillId="0" borderId="0" xfId="0" applyFont="1"/>
    <xf numFmtId="0" fontId="11" fillId="2" borderId="0" xfId="0" applyFont="1" applyFill="1" applyAlignment="1">
      <alignment horizontal="center"/>
    </xf>
    <xf numFmtId="0" fontId="12" fillId="0" borderId="0" xfId="0" applyFont="1"/>
    <xf numFmtId="0" fontId="8" fillId="0" borderId="9" xfId="0" applyFont="1" applyBorder="1"/>
    <xf numFmtId="0" fontId="8" fillId="0" borderId="2" xfId="0" applyFont="1" applyBorder="1"/>
    <xf numFmtId="0" fontId="13" fillId="0" borderId="2" xfId="0" applyFont="1" applyBorder="1" applyAlignment="1"/>
    <xf numFmtId="0" fontId="14" fillId="0" borderId="0" xfId="0" applyFont="1" applyBorder="1"/>
    <xf numFmtId="0" fontId="8" fillId="0" borderId="0" xfId="0" applyFont="1" applyBorder="1"/>
    <xf numFmtId="0" fontId="7" fillId="0" borderId="0" xfId="0" applyFont="1" applyAlignment="1">
      <alignment horizontal="center"/>
    </xf>
    <xf numFmtId="0" fontId="15" fillId="0" borderId="0" xfId="0" applyFont="1"/>
    <xf numFmtId="44" fontId="14" fillId="0" borderId="0" xfId="1" applyFont="1"/>
    <xf numFmtId="0" fontId="16" fillId="3" borderId="11" xfId="0" applyFont="1" applyFill="1" applyBorder="1" applyAlignment="1">
      <alignment horizontal="center"/>
    </xf>
    <xf numFmtId="0" fontId="16" fillId="3" borderId="12" xfId="0" applyFont="1" applyFill="1" applyBorder="1" applyAlignment="1">
      <alignment horizontal="center"/>
    </xf>
    <xf numFmtId="0" fontId="16" fillId="3" borderId="13" xfId="0" applyFont="1" applyFill="1" applyBorder="1" applyAlignment="1">
      <alignment horizontal="center"/>
    </xf>
    <xf numFmtId="0" fontId="8" fillId="0" borderId="10" xfId="0" applyFont="1" applyBorder="1"/>
    <xf numFmtId="44" fontId="15" fillId="0" borderId="0" xfId="0" applyNumberFormat="1" applyFont="1" applyBorder="1"/>
    <xf numFmtId="0" fontId="8" fillId="0" borderId="5" xfId="0" applyFont="1" applyBorder="1"/>
    <xf numFmtId="44" fontId="15" fillId="0" borderId="0" xfId="0" applyNumberFormat="1" applyFont="1"/>
    <xf numFmtId="0" fontId="8" fillId="0" borderId="1" xfId="0" applyFont="1" applyBorder="1"/>
    <xf numFmtId="0" fontId="8" fillId="0" borderId="3" xfId="0" applyFont="1" applyBorder="1"/>
    <xf numFmtId="44" fontId="13" fillId="0" borderId="5" xfId="1" applyFont="1" applyBorder="1"/>
    <xf numFmtId="44" fontId="4" fillId="0" borderId="5" xfId="0" applyNumberFormat="1" applyFont="1" applyBorder="1"/>
    <xf numFmtId="44" fontId="14" fillId="0" borderId="0" xfId="0" applyNumberFormat="1" applyFont="1" applyBorder="1"/>
    <xf numFmtId="44" fontId="15" fillId="0" borderId="0" xfId="1" applyFont="1"/>
    <xf numFmtId="0" fontId="8" fillId="3" borderId="4" xfId="0" applyFont="1" applyFill="1" applyBorder="1"/>
    <xf numFmtId="0" fontId="8" fillId="3" borderId="0" xfId="0" applyFont="1" applyFill="1" applyBorder="1" applyAlignment="1">
      <alignment horizontal="right" wrapText="1"/>
    </xf>
    <xf numFmtId="0" fontId="8" fillId="3" borderId="0" xfId="0" applyFont="1" applyFill="1" applyBorder="1" applyAlignment="1">
      <alignment horizontal="right"/>
    </xf>
    <xf numFmtId="0" fontId="8" fillId="3" borderId="5" xfId="0" applyFont="1" applyFill="1" applyBorder="1" applyAlignment="1">
      <alignment horizontal="right"/>
    </xf>
    <xf numFmtId="0" fontId="8" fillId="3" borderId="0" xfId="0" applyFont="1" applyFill="1" applyBorder="1"/>
    <xf numFmtId="0" fontId="8" fillId="3" borderId="5" xfId="0" applyFont="1" applyFill="1" applyBorder="1"/>
    <xf numFmtId="44" fontId="9" fillId="0" borderId="0" xfId="1" applyFont="1"/>
    <xf numFmtId="44" fontId="9" fillId="0" borderId="5" xfId="1" applyFont="1" applyBorder="1"/>
    <xf numFmtId="44" fontId="8" fillId="0" borderId="5" xfId="1" applyFont="1" applyBorder="1"/>
    <xf numFmtId="0" fontId="6" fillId="3" borderId="5" xfId="0" applyFont="1" applyFill="1" applyBorder="1" applyAlignment="1">
      <alignment horizontal="right" wrapText="1"/>
    </xf>
    <xf numFmtId="44" fontId="17" fillId="0" borderId="5" xfId="1" applyFont="1" applyBorder="1"/>
    <xf numFmtId="44" fontId="13" fillId="0" borderId="0" xfId="1" applyFont="1"/>
    <xf numFmtId="44" fontId="4" fillId="0" borderId="0" xfId="1" applyFont="1"/>
    <xf numFmtId="44" fontId="10" fillId="0" borderId="0" xfId="0" applyNumberFormat="1" applyFont="1"/>
    <xf numFmtId="44" fontId="11" fillId="2" borderId="0" xfId="1" applyFont="1" applyFill="1"/>
    <xf numFmtId="0" fontId="18" fillId="3" borderId="5" xfId="0" applyFont="1" applyFill="1" applyBorder="1" applyAlignment="1">
      <alignment horizontal="right" wrapText="1"/>
    </xf>
    <xf numFmtId="44" fontId="19" fillId="0" borderId="5" xfId="1" applyFont="1" applyBorder="1"/>
    <xf numFmtId="44" fontId="15" fillId="0" borderId="7" xfId="0" applyNumberFormat="1" applyFont="1" applyBorder="1"/>
    <xf numFmtId="44" fontId="4" fillId="0" borderId="8" xfId="0" applyNumberFormat="1" applyFont="1" applyBorder="1"/>
    <xf numFmtId="44" fontId="11" fillId="2" borderId="0" xfId="0" applyNumberFormat="1" applyFont="1" applyFill="1" applyBorder="1"/>
    <xf numFmtId="0" fontId="20" fillId="0" borderId="0" xfId="0" applyFont="1"/>
    <xf numFmtId="0" fontId="14" fillId="0" borderId="0" xfId="0" applyFont="1"/>
    <xf numFmtId="0" fontId="8" fillId="0" borderId="4" xfId="0" applyFont="1" applyBorder="1"/>
    <xf numFmtId="0" fontId="8" fillId="0" borderId="8" xfId="0" applyFont="1" applyBorder="1"/>
    <xf numFmtId="44" fontId="10" fillId="0" borderId="0" xfId="1" applyFont="1"/>
    <xf numFmtId="44" fontId="13" fillId="0" borderId="0" xfId="0" applyNumberFormat="1" applyFont="1" applyFill="1"/>
    <xf numFmtId="0" fontId="8" fillId="0" borderId="0" xfId="0" applyFont="1" applyFill="1"/>
    <xf numFmtId="0" fontId="6" fillId="3" borderId="5" xfId="0" applyFont="1" applyFill="1" applyBorder="1"/>
    <xf numFmtId="44" fontId="20" fillId="0" borderId="0" xfId="0" applyNumberFormat="1" applyFont="1" applyAlignment="1">
      <alignment vertical="top"/>
    </xf>
    <xf numFmtId="44" fontId="20" fillId="0" borderId="0" xfId="0" applyNumberFormat="1" applyFont="1" applyAlignment="1">
      <alignment vertical="top" wrapText="1"/>
    </xf>
    <xf numFmtId="44" fontId="11" fillId="2" borderId="0" xfId="0" applyNumberFormat="1" applyFont="1" applyFill="1" applyAlignment="1">
      <alignment vertical="top"/>
    </xf>
    <xf numFmtId="0" fontId="8" fillId="0" borderId="6" xfId="0" applyFont="1" applyBorder="1"/>
    <xf numFmtId="0" fontId="8" fillId="0" borderId="7" xfId="0" applyFont="1" applyBorder="1"/>
    <xf numFmtId="0" fontId="8" fillId="0" borderId="0" xfId="0" applyFont="1" applyAlignment="1">
      <alignment wrapText="1"/>
    </xf>
    <xf numFmtId="0" fontId="8" fillId="0" borderId="0" xfId="0" applyFont="1" applyAlignment="1">
      <alignment horizontal="right"/>
    </xf>
    <xf numFmtId="0" fontId="21" fillId="0" borderId="0" xfId="0" applyFont="1"/>
    <xf numFmtId="0" fontId="13" fillId="0" borderId="0" xfId="0" applyFont="1"/>
    <xf numFmtId="44" fontId="13" fillId="0" borderId="0" xfId="0" applyNumberFormat="1" applyFont="1"/>
    <xf numFmtId="0" fontId="22" fillId="0" borderId="0" xfId="0" applyFont="1"/>
    <xf numFmtId="44" fontId="22" fillId="0" borderId="0" xfId="1" applyFont="1"/>
    <xf numFmtId="44" fontId="6" fillId="0" borderId="0" xfId="1" applyFont="1"/>
    <xf numFmtId="44" fontId="8" fillId="0" borderId="0" xfId="0" applyNumberFormat="1" applyFont="1"/>
    <xf numFmtId="44" fontId="6" fillId="0" borderId="0" xfId="1" applyFont="1" applyAlignment="1">
      <alignment horizontal="center"/>
    </xf>
    <xf numFmtId="44" fontId="19" fillId="0" borderId="0" xfId="0" applyNumberFormat="1" applyFont="1"/>
    <xf numFmtId="0" fontId="23" fillId="0" borderId="0" xfId="0" applyFont="1" applyBorder="1"/>
    <xf numFmtId="0" fontId="5" fillId="3" borderId="0" xfId="0" applyFont="1" applyFill="1" applyBorder="1"/>
    <xf numFmtId="0" fontId="23" fillId="3" borderId="0" xfId="0" applyFont="1" applyFill="1" applyBorder="1"/>
    <xf numFmtId="0" fontId="23" fillId="0" borderId="7" xfId="0" applyFont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F3988C-878A-4B87-AF86-57B2A5D9FD2E}">
  <dimension ref="A1:T41"/>
  <sheetViews>
    <sheetView tabSelected="1" workbookViewId="0">
      <selection activeCell="D20" sqref="D20"/>
    </sheetView>
  </sheetViews>
  <sheetFormatPr defaultRowHeight="13.5" x14ac:dyDescent="0.25"/>
  <cols>
    <col min="1" max="1" width="19.28515625" style="4" customWidth="1"/>
    <col min="2" max="2" width="14.85546875" style="4" customWidth="1"/>
    <col min="3" max="3" width="14.5703125" style="4" customWidth="1"/>
    <col min="4" max="4" width="15.7109375" style="4" customWidth="1"/>
    <col min="5" max="5" width="14.42578125" style="4" customWidth="1"/>
    <col min="6" max="6" width="15.28515625" style="4" customWidth="1"/>
    <col min="7" max="7" width="15.7109375" style="4" customWidth="1"/>
    <col min="8" max="8" width="13.140625" style="4" customWidth="1"/>
    <col min="9" max="9" width="8.28515625" style="4" customWidth="1"/>
    <col min="10" max="13" width="13.140625" style="4" customWidth="1"/>
    <col min="14" max="14" width="15.85546875" style="4" customWidth="1"/>
    <col min="15" max="15" width="16.7109375" style="4" customWidth="1"/>
    <col min="16" max="16" width="17" style="4" bestFit="1" customWidth="1"/>
    <col min="17" max="17" width="10.42578125" style="4" customWidth="1"/>
    <col min="18" max="18" width="10.5703125" style="4" bestFit="1" customWidth="1"/>
    <col min="19" max="16384" width="9.140625" style="4"/>
  </cols>
  <sheetData>
    <row r="1" spans="1:20" ht="36" customHeight="1" x14ac:dyDescent="0.25">
      <c r="A1" s="3" t="s">
        <v>22</v>
      </c>
    </row>
    <row r="2" spans="1:20" ht="37.5" customHeight="1" x14ac:dyDescent="0.25">
      <c r="B2" s="5" t="s">
        <v>11</v>
      </c>
      <c r="C2" s="6"/>
    </row>
    <row r="3" spans="1:20" ht="28.5" customHeight="1" x14ac:dyDescent="0.25">
      <c r="B3" s="7" t="s">
        <v>12</v>
      </c>
      <c r="C3" s="8" t="s">
        <v>18</v>
      </c>
      <c r="D3" s="9" t="s">
        <v>19</v>
      </c>
      <c r="F3" s="10" t="s">
        <v>10</v>
      </c>
      <c r="G3" s="11" t="s">
        <v>32</v>
      </c>
      <c r="K3" s="12" t="s">
        <v>14</v>
      </c>
      <c r="L3" s="13"/>
      <c r="M3" s="14"/>
      <c r="N3" s="14"/>
      <c r="O3" s="1" t="s">
        <v>13</v>
      </c>
      <c r="P3" s="15" t="s">
        <v>20</v>
      </c>
      <c r="Q3" s="16"/>
      <c r="R3" s="16"/>
      <c r="T3" s="16"/>
    </row>
    <row r="4" spans="1:20" x14ac:dyDescent="0.25">
      <c r="B4" s="17" t="s">
        <v>3</v>
      </c>
      <c r="C4" s="18"/>
      <c r="D4" s="9"/>
      <c r="F4" s="19"/>
      <c r="G4" s="20" t="s">
        <v>31</v>
      </c>
      <c r="H4" s="21"/>
      <c r="I4" s="21"/>
      <c r="J4" s="22"/>
      <c r="K4" s="23"/>
      <c r="L4" s="24" t="s">
        <v>3</v>
      </c>
      <c r="M4" s="24" t="s">
        <v>0</v>
      </c>
      <c r="N4" s="24" t="s">
        <v>5</v>
      </c>
      <c r="O4" s="25"/>
      <c r="P4" s="15"/>
      <c r="Q4" s="16"/>
      <c r="R4" s="16"/>
      <c r="T4" s="16"/>
    </row>
    <row r="5" spans="1:20" x14ac:dyDescent="0.25">
      <c r="B5" s="6">
        <v>8578</v>
      </c>
      <c r="C5" s="26">
        <f>SUM(B5*0.5715375)</f>
        <v>4902.6486750000004</v>
      </c>
      <c r="D5" s="9"/>
      <c r="F5" s="19">
        <f t="shared" ref="F5:F11" si="0">SUM(B5-C5)</f>
        <v>3675.3513249999996</v>
      </c>
      <c r="G5" s="27"/>
      <c r="H5" s="13"/>
      <c r="I5" s="13"/>
      <c r="J5" s="28"/>
      <c r="K5" s="29">
        <f>SUM(B5+B14+B23)</f>
        <v>67482</v>
      </c>
      <c r="L5" s="24">
        <v>4902.6486750000004</v>
      </c>
      <c r="M5" s="24">
        <f>$C$14</f>
        <v>33050.2990125</v>
      </c>
      <c r="N5" s="24">
        <f>$C$23</f>
        <v>615.54588750000005</v>
      </c>
      <c r="O5" s="30">
        <f t="shared" ref="O5:O11" si="1">SUM(L5+M5+N5)</f>
        <v>38568.493574999993</v>
      </c>
      <c r="P5" s="31">
        <f t="shared" ref="P5:P11" si="2">SUM(K5-O5)</f>
        <v>28913.506425000007</v>
      </c>
      <c r="Q5" s="16"/>
      <c r="R5" s="16"/>
      <c r="T5" s="16"/>
    </row>
    <row r="6" spans="1:20" ht="27" x14ac:dyDescent="0.25">
      <c r="A6" s="4" t="s">
        <v>1</v>
      </c>
      <c r="B6" s="6">
        <f>SUM(-B5*0.025)</f>
        <v>-214.45000000000002</v>
      </c>
      <c r="C6" s="32">
        <f>SUM(-C5*0.025)</f>
        <v>-122.56621687500001</v>
      </c>
      <c r="D6" s="9"/>
      <c r="F6" s="19">
        <f t="shared" si="0"/>
        <v>-91.883783125000008</v>
      </c>
      <c r="G6" s="33">
        <f>107.23*2</f>
        <v>214.46</v>
      </c>
      <c r="H6" s="34" t="s">
        <v>24</v>
      </c>
      <c r="I6" s="35"/>
      <c r="J6" s="36"/>
      <c r="K6" s="29">
        <f>SUM(B6+B15+B24)</f>
        <v>-1687.0500000000002</v>
      </c>
      <c r="L6" s="24">
        <v>-122.56621687500001</v>
      </c>
      <c r="M6" s="24">
        <f>$C$15</f>
        <v>-826.25747531249999</v>
      </c>
      <c r="N6" s="24">
        <f>$C$24</f>
        <v>-15.388647187500002</v>
      </c>
      <c r="O6" s="30">
        <f t="shared" si="1"/>
        <v>-964.21233937500006</v>
      </c>
      <c r="P6" s="31">
        <f t="shared" si="2"/>
        <v>-722.83766062500013</v>
      </c>
      <c r="Q6" s="16"/>
      <c r="R6" s="16"/>
      <c r="T6" s="16"/>
    </row>
    <row r="7" spans="1:20" x14ac:dyDescent="0.25">
      <c r="B7" s="6">
        <f>SUM(B5:B6)</f>
        <v>8363.5499999999993</v>
      </c>
      <c r="C7" s="32">
        <f>SUM(C5:C6)</f>
        <v>4780.0824581249999</v>
      </c>
      <c r="D7" s="9"/>
      <c r="F7" s="19">
        <f t="shared" si="0"/>
        <v>3583.4675418749994</v>
      </c>
      <c r="G7" s="33"/>
      <c r="H7" s="37"/>
      <c r="I7" s="37"/>
      <c r="J7" s="38"/>
      <c r="K7" s="29">
        <f>SUM(K5:K6)</f>
        <v>65794.95</v>
      </c>
      <c r="L7" s="24">
        <v>4780.0824581249999</v>
      </c>
      <c r="M7" s="24">
        <f>$C$16</f>
        <v>32224.041537187499</v>
      </c>
      <c r="N7" s="24">
        <f>SUM(N5:N6)</f>
        <v>600.15724031249999</v>
      </c>
      <c r="O7" s="30">
        <f t="shared" si="1"/>
        <v>37604.281235625</v>
      </c>
      <c r="P7" s="31">
        <f t="shared" si="2"/>
        <v>28190.668764374997</v>
      </c>
      <c r="Q7" s="16"/>
      <c r="R7" s="16"/>
      <c r="T7" s="16"/>
    </row>
    <row r="8" spans="1:20" x14ac:dyDescent="0.25">
      <c r="A8" s="5" t="s">
        <v>9</v>
      </c>
      <c r="B8" s="39">
        <f>SUM(-B7*0.05)</f>
        <v>-418.17750000000001</v>
      </c>
      <c r="C8" s="32">
        <f>SUM(-C7*0.05)</f>
        <v>-239.00412290625002</v>
      </c>
      <c r="D8" s="9"/>
      <c r="F8" s="19">
        <f t="shared" si="0"/>
        <v>-179.17337709374999</v>
      </c>
      <c r="G8" s="33"/>
      <c r="H8" s="37"/>
      <c r="I8" s="37"/>
      <c r="J8" s="38"/>
      <c r="K8" s="40">
        <f>SUM(B8+B17+B26)</f>
        <v>-3289.7474999999995</v>
      </c>
      <c r="L8" s="24">
        <v>-239.00412290625002</v>
      </c>
      <c r="M8" s="24">
        <f>$C$17</f>
        <v>-1611.202076859375</v>
      </c>
      <c r="N8" s="24">
        <f>$C$26</f>
        <v>-30.007862015625001</v>
      </c>
      <c r="O8" s="30">
        <f t="shared" si="1"/>
        <v>-1880.2140617812502</v>
      </c>
      <c r="P8" s="31">
        <f t="shared" si="2"/>
        <v>-1409.5334382187493</v>
      </c>
      <c r="Q8" s="16"/>
      <c r="R8" s="16"/>
      <c r="T8" s="16"/>
    </row>
    <row r="9" spans="1:20" x14ac:dyDescent="0.25">
      <c r="B9" s="6">
        <f>SUM(B7:B8)</f>
        <v>7945.3724999999995</v>
      </c>
      <c r="C9" s="32">
        <f>SUM(C7:C8)</f>
        <v>4541.07833521875</v>
      </c>
      <c r="D9" s="9"/>
      <c r="F9" s="19">
        <f t="shared" si="0"/>
        <v>3404.2941647812495</v>
      </c>
      <c r="G9" s="33"/>
      <c r="H9" s="37"/>
      <c r="I9" s="37"/>
      <c r="J9" s="38"/>
      <c r="K9" s="41">
        <f>SUM(K7:K8)</f>
        <v>62505.202499999999</v>
      </c>
      <c r="L9" s="24">
        <v>4541.07833521875</v>
      </c>
      <c r="M9" s="24">
        <f>$C$18</f>
        <v>30612.839460328123</v>
      </c>
      <c r="N9" s="24">
        <f>$C$27</f>
        <v>570.14937829687494</v>
      </c>
      <c r="O9" s="30">
        <f t="shared" si="1"/>
        <v>35724.067173843752</v>
      </c>
      <c r="P9" s="31">
        <f t="shared" si="2"/>
        <v>26781.135326156247</v>
      </c>
      <c r="Q9" s="16"/>
      <c r="R9" s="16"/>
      <c r="T9" s="16"/>
    </row>
    <row r="10" spans="1:20" ht="23.25" customHeight="1" x14ac:dyDescent="0.3">
      <c r="A10" s="4" t="s">
        <v>4</v>
      </c>
      <c r="B10" s="6">
        <f>SUM(B9*0.05)</f>
        <v>397.26862499999999</v>
      </c>
      <c r="C10" s="32">
        <f>SUM(C9*0.05)</f>
        <v>227.05391676093751</v>
      </c>
      <c r="D10" s="9"/>
      <c r="F10" s="19">
        <f t="shared" si="0"/>
        <v>170.21470823906247</v>
      </c>
      <c r="G10" s="33">
        <f>428.9</f>
        <v>428.9</v>
      </c>
      <c r="H10" s="34" t="s">
        <v>26</v>
      </c>
      <c r="I10" s="2">
        <f>B10-G10</f>
        <v>-31.631374999999991</v>
      </c>
      <c r="J10" s="42" t="s">
        <v>25</v>
      </c>
      <c r="K10" s="43">
        <f>SUM(B10+B19+B28)</f>
        <v>3125.2601250000002</v>
      </c>
      <c r="L10" s="24">
        <v>227.05391676093751</v>
      </c>
      <c r="M10" s="24">
        <f>$C$19</f>
        <v>1530.6419730164062</v>
      </c>
      <c r="N10" s="24">
        <f>$C$28</f>
        <v>28.507468914843749</v>
      </c>
      <c r="O10" s="30">
        <f t="shared" si="1"/>
        <v>1786.2033586921873</v>
      </c>
      <c r="P10" s="31">
        <f t="shared" si="2"/>
        <v>1339.0567663078129</v>
      </c>
      <c r="Q10" s="16"/>
      <c r="R10" s="16"/>
      <c r="T10" s="16"/>
    </row>
    <row r="11" spans="1:20" ht="28.5" x14ac:dyDescent="0.35">
      <c r="B11" s="44">
        <f>SUM(B9:B10)</f>
        <v>8342.6411250000001</v>
      </c>
      <c r="C11" s="45">
        <f>SUM(C9:C10)</f>
        <v>4768.1322519796877</v>
      </c>
      <c r="D11" s="46">
        <v>8342.64</v>
      </c>
      <c r="E11" s="9" t="s">
        <v>15</v>
      </c>
      <c r="F11" s="47">
        <f t="shared" si="0"/>
        <v>3574.5088730203124</v>
      </c>
      <c r="G11" s="33">
        <f>449.8</f>
        <v>449.8</v>
      </c>
      <c r="H11" s="34" t="s">
        <v>27</v>
      </c>
      <c r="I11" s="2">
        <f>G11+B8</f>
        <v>31.622500000000002</v>
      </c>
      <c r="J11" s="48" t="s">
        <v>28</v>
      </c>
      <c r="K11" s="49">
        <f>SUM(K9:K10)</f>
        <v>65630.462625</v>
      </c>
      <c r="L11" s="50">
        <v>4768.1322519796877</v>
      </c>
      <c r="M11" s="50">
        <f>SUM(M9:M10)</f>
        <v>32143.481433344528</v>
      </c>
      <c r="N11" s="50">
        <f>SUM(N9:N10)</f>
        <v>598.65684721171874</v>
      </c>
      <c r="O11" s="51">
        <f t="shared" si="1"/>
        <v>37510.270532535935</v>
      </c>
      <c r="P11" s="52">
        <f t="shared" si="2"/>
        <v>28120.192092464065</v>
      </c>
      <c r="Q11" s="16"/>
      <c r="R11" s="16"/>
      <c r="T11" s="16"/>
    </row>
    <row r="12" spans="1:20" ht="14.25" x14ac:dyDescent="0.3">
      <c r="C12" s="32"/>
      <c r="D12" s="53"/>
      <c r="F12" s="54"/>
      <c r="G12" s="55"/>
      <c r="H12" s="16"/>
      <c r="I12" s="77"/>
      <c r="J12" s="25"/>
      <c r="K12" s="25"/>
      <c r="L12" s="16"/>
      <c r="M12" s="16"/>
      <c r="N12" s="16"/>
      <c r="O12" s="16"/>
      <c r="P12" s="16"/>
      <c r="Q12" s="16"/>
      <c r="T12" s="16"/>
    </row>
    <row r="13" spans="1:20" ht="14.25" x14ac:dyDescent="0.3">
      <c r="B13" s="17" t="s">
        <v>0</v>
      </c>
      <c r="C13" s="32"/>
      <c r="D13" s="53"/>
      <c r="E13" s="9"/>
      <c r="F13" s="19"/>
      <c r="G13" s="55"/>
      <c r="H13" s="16"/>
      <c r="I13" s="77"/>
      <c r="J13" s="25"/>
      <c r="K13" s="56"/>
      <c r="L13" s="16"/>
      <c r="M13" s="16"/>
      <c r="N13" s="16"/>
      <c r="O13" s="16"/>
      <c r="P13" s="16"/>
      <c r="Q13" s="16"/>
      <c r="R13" s="16"/>
      <c r="S13" s="16"/>
      <c r="T13" s="16"/>
    </row>
    <row r="14" spans="1:20" ht="14.25" x14ac:dyDescent="0.3">
      <c r="B14" s="6">
        <v>57827</v>
      </c>
      <c r="C14" s="32">
        <f>SUM(B14*0.5715375)</f>
        <v>33050.2990125</v>
      </c>
      <c r="D14" s="53"/>
      <c r="E14" s="9"/>
      <c r="F14" s="19">
        <f t="shared" ref="F14:F20" si="3">SUM(B14-C14)</f>
        <v>24776.7009875</v>
      </c>
      <c r="G14" s="55"/>
      <c r="H14" s="16"/>
      <c r="I14" s="77"/>
      <c r="J14" s="25"/>
    </row>
    <row r="15" spans="1:20" ht="27.75" x14ac:dyDescent="0.3">
      <c r="A15" s="4" t="s">
        <v>1</v>
      </c>
      <c r="B15" s="6">
        <f>SUM(-B14*0.025)</f>
        <v>-1445.6750000000002</v>
      </c>
      <c r="C15" s="32">
        <f>SUM(-C14*0.025)</f>
        <v>-826.25747531249999</v>
      </c>
      <c r="D15" s="53"/>
      <c r="E15" s="9"/>
      <c r="F15" s="19">
        <f t="shared" si="3"/>
        <v>-619.41752468750019</v>
      </c>
      <c r="G15" s="33">
        <f>722.84</f>
        <v>722.84</v>
      </c>
      <c r="H15" s="34" t="s">
        <v>24</v>
      </c>
      <c r="I15" s="2">
        <f>B15+G15</f>
        <v>-722.83500000000015</v>
      </c>
      <c r="J15" s="42" t="s">
        <v>30</v>
      </c>
    </row>
    <row r="16" spans="1:20" ht="14.25" x14ac:dyDescent="0.3">
      <c r="B16" s="6">
        <f>SUM(B14:B15)</f>
        <v>56381.324999999997</v>
      </c>
      <c r="C16" s="32">
        <f>SUM(C14:C15)</f>
        <v>32224.041537187499</v>
      </c>
      <c r="D16" s="53"/>
      <c r="E16" s="9"/>
      <c r="F16" s="19">
        <f t="shared" si="3"/>
        <v>24157.283462812498</v>
      </c>
      <c r="G16" s="33"/>
      <c r="H16" s="37"/>
      <c r="I16" s="78"/>
      <c r="J16" s="38"/>
    </row>
    <row r="17" spans="1:10" ht="14.25" x14ac:dyDescent="0.3">
      <c r="A17" s="5" t="s">
        <v>9</v>
      </c>
      <c r="B17" s="39">
        <f>SUM(-B16*0.05)</f>
        <v>-2819.0662499999999</v>
      </c>
      <c r="C17" s="32">
        <f>SUM(-C16*0.05)</f>
        <v>-1611.202076859375</v>
      </c>
      <c r="D17" s="53"/>
      <c r="E17" s="9"/>
      <c r="F17" s="19">
        <f t="shared" si="3"/>
        <v>-1207.8641731406249</v>
      </c>
      <c r="G17" s="33"/>
      <c r="H17" s="37"/>
      <c r="I17" s="78"/>
      <c r="J17" s="38"/>
    </row>
    <row r="18" spans="1:10" ht="14.25" x14ac:dyDescent="0.3">
      <c r="B18" s="6">
        <f>SUM(B16:B17)</f>
        <v>53562.258749999994</v>
      </c>
      <c r="C18" s="32">
        <f>SUM(C16:C17)</f>
        <v>30612.839460328123</v>
      </c>
      <c r="D18" s="53"/>
      <c r="E18" s="9"/>
      <c r="F18" s="19">
        <f t="shared" si="3"/>
        <v>22949.419289671871</v>
      </c>
      <c r="G18" s="33"/>
      <c r="H18" s="37"/>
      <c r="I18" s="78"/>
      <c r="J18" s="38"/>
    </row>
    <row r="19" spans="1:10" ht="14.25" x14ac:dyDescent="0.3">
      <c r="A19" s="4" t="s">
        <v>4</v>
      </c>
      <c r="B19" s="6">
        <f>SUM(B18*0.05)</f>
        <v>2678.1129375</v>
      </c>
      <c r="C19" s="32">
        <f>SUM(C18*0.05)</f>
        <v>1530.6419730164062</v>
      </c>
      <c r="D19" s="53"/>
      <c r="E19" s="9"/>
      <c r="F19" s="19">
        <f t="shared" si="3"/>
        <v>1147.4709644835939</v>
      </c>
      <c r="G19" s="33">
        <f>2891.35</f>
        <v>2891.35</v>
      </c>
      <c r="H19" s="34" t="s">
        <v>26</v>
      </c>
      <c r="I19" s="2">
        <f>B19-G19</f>
        <v>-213.23706249999987</v>
      </c>
      <c r="J19" s="42" t="s">
        <v>25</v>
      </c>
    </row>
    <row r="20" spans="1:10" ht="27.75" x14ac:dyDescent="0.3">
      <c r="B20" s="44">
        <f>SUM(B18:B19)</f>
        <v>56240.371687499995</v>
      </c>
      <c r="C20" s="45">
        <f>SUM(C18:C19)</f>
        <v>32143.481433344528</v>
      </c>
      <c r="D20" s="46">
        <v>28120.19</v>
      </c>
      <c r="E20" s="9" t="s">
        <v>16</v>
      </c>
      <c r="F20" s="47">
        <f t="shared" si="3"/>
        <v>24096.890254155467</v>
      </c>
      <c r="G20" s="33">
        <f>3032.29</f>
        <v>3032.29</v>
      </c>
      <c r="H20" s="34" t="s">
        <v>27</v>
      </c>
      <c r="I20" s="2">
        <f>B17+G20</f>
        <v>213.22375000000011</v>
      </c>
      <c r="J20" s="48" t="s">
        <v>28</v>
      </c>
    </row>
    <row r="21" spans="1:10" ht="14.25" x14ac:dyDescent="0.3">
      <c r="C21" s="32"/>
      <c r="D21" s="53"/>
      <c r="E21" s="9"/>
      <c r="F21" s="54"/>
      <c r="G21" s="55"/>
      <c r="H21" s="16"/>
      <c r="I21" s="77"/>
      <c r="J21" s="25"/>
    </row>
    <row r="22" spans="1:10" ht="14.25" x14ac:dyDescent="0.3">
      <c r="B22" s="17" t="s">
        <v>5</v>
      </c>
      <c r="C22" s="32"/>
      <c r="D22" s="53"/>
      <c r="E22" s="9"/>
      <c r="F22" s="54"/>
      <c r="G22" s="55"/>
      <c r="H22" s="16"/>
      <c r="I22" s="77"/>
      <c r="J22" s="25"/>
    </row>
    <row r="23" spans="1:10" ht="14.25" x14ac:dyDescent="0.3">
      <c r="B23" s="6">
        <v>1077</v>
      </c>
      <c r="C23" s="32">
        <f>SUM(B23*0.5715375)</f>
        <v>615.54588750000005</v>
      </c>
      <c r="D23" s="53"/>
      <c r="E23" s="9"/>
      <c r="F23" s="19">
        <f t="shared" ref="F23:F29" si="4">SUM(B23-C23)</f>
        <v>461.45411249999995</v>
      </c>
      <c r="G23" s="55"/>
      <c r="H23" s="16"/>
      <c r="I23" s="77"/>
      <c r="J23" s="25"/>
    </row>
    <row r="24" spans="1:10" ht="27.75" x14ac:dyDescent="0.3">
      <c r="A24" s="4" t="s">
        <v>1</v>
      </c>
      <c r="B24" s="6">
        <f>SUM(-B23*0.025)</f>
        <v>-26.925000000000001</v>
      </c>
      <c r="C24" s="32">
        <f>SUM(-C23*0.025)</f>
        <v>-15.388647187500002</v>
      </c>
      <c r="D24" s="53"/>
      <c r="E24" s="9"/>
      <c r="F24" s="19">
        <f t="shared" si="4"/>
        <v>-11.536352812499999</v>
      </c>
      <c r="G24" s="33">
        <f>26.93+1.35</f>
        <v>28.28</v>
      </c>
      <c r="H24" s="34" t="s">
        <v>24</v>
      </c>
      <c r="I24" s="2">
        <f>B24+G24</f>
        <v>1.3550000000000004</v>
      </c>
      <c r="J24" s="38"/>
    </row>
    <row r="25" spans="1:10" ht="14.25" x14ac:dyDescent="0.3">
      <c r="B25" s="6">
        <f t="shared" ref="B25" si="5">SUM(B23:B24)</f>
        <v>1050.075</v>
      </c>
      <c r="C25" s="32">
        <f>SUM(C23:C24)</f>
        <v>600.15724031249999</v>
      </c>
      <c r="D25" s="53"/>
      <c r="E25" s="9"/>
      <c r="F25" s="19">
        <f t="shared" si="4"/>
        <v>449.91775968750005</v>
      </c>
      <c r="G25" s="33"/>
      <c r="H25" s="37"/>
      <c r="I25" s="79"/>
      <c r="J25" s="38"/>
    </row>
    <row r="26" spans="1:10" ht="14.25" x14ac:dyDescent="0.3">
      <c r="A26" s="5" t="s">
        <v>9</v>
      </c>
      <c r="B26" s="39">
        <f>SUM(-B25*0.05)</f>
        <v>-52.503750000000004</v>
      </c>
      <c r="C26" s="32">
        <f>SUM(-C25*0.05)</f>
        <v>-30.007862015625001</v>
      </c>
      <c r="D26" s="53"/>
      <c r="E26" s="9"/>
      <c r="F26" s="19">
        <f t="shared" si="4"/>
        <v>-22.495887984375003</v>
      </c>
      <c r="G26" s="33"/>
      <c r="H26" s="37"/>
      <c r="I26" s="79"/>
      <c r="J26" s="38"/>
    </row>
    <row r="27" spans="1:10" ht="14.25" x14ac:dyDescent="0.3">
      <c r="B27" s="6">
        <f t="shared" ref="B27" si="6">SUM(B25:B26)</f>
        <v>997.57125000000008</v>
      </c>
      <c r="C27" s="32">
        <f>SUM(C25:C26)</f>
        <v>570.14937829687494</v>
      </c>
      <c r="D27" s="53"/>
      <c r="E27" s="9"/>
      <c r="F27" s="19">
        <f t="shared" si="4"/>
        <v>427.42187170312513</v>
      </c>
      <c r="G27" s="33"/>
      <c r="H27" s="37"/>
      <c r="I27" s="79"/>
      <c r="J27" s="38"/>
    </row>
    <row r="28" spans="1:10" ht="14.25" x14ac:dyDescent="0.3">
      <c r="A28" s="4" t="s">
        <v>4</v>
      </c>
      <c r="B28" s="6">
        <f t="shared" ref="B28" si="7">SUM(B27*0.05)</f>
        <v>49.878562500000008</v>
      </c>
      <c r="C28" s="32">
        <f>SUM(C27*0.05)</f>
        <v>28.507468914843749</v>
      </c>
      <c r="D28" s="53"/>
      <c r="E28" s="9"/>
      <c r="F28" s="19">
        <f t="shared" si="4"/>
        <v>21.37109358515626</v>
      </c>
      <c r="G28" s="33">
        <f>53.85</f>
        <v>53.85</v>
      </c>
      <c r="H28" s="34" t="s">
        <v>26</v>
      </c>
      <c r="I28" s="2">
        <f>B28-G28</f>
        <v>-3.9714374999999933</v>
      </c>
      <c r="J28" s="42" t="s">
        <v>25</v>
      </c>
    </row>
    <row r="29" spans="1:10" ht="27.75" x14ac:dyDescent="0.3">
      <c r="B29" s="44">
        <f t="shared" ref="B29" si="8">SUM(B27:B28)</f>
        <v>1047.4498125</v>
      </c>
      <c r="C29" s="45">
        <f>SUM(C27:C28)</f>
        <v>598.65684721171874</v>
      </c>
      <c r="D29" s="57">
        <v>1047.45</v>
      </c>
      <c r="E29" s="9" t="s">
        <v>17</v>
      </c>
      <c r="F29" s="47">
        <f t="shared" si="4"/>
        <v>448.79296528828127</v>
      </c>
      <c r="G29" s="33">
        <f>55.12</f>
        <v>55.12</v>
      </c>
      <c r="H29" s="34" t="s">
        <v>27</v>
      </c>
      <c r="I29" s="2">
        <f>B26+G29</f>
        <v>2.6162499999999937</v>
      </c>
      <c r="J29" s="48" t="s">
        <v>28</v>
      </c>
    </row>
    <row r="30" spans="1:10" ht="14.25" x14ac:dyDescent="0.3">
      <c r="C30" s="32"/>
      <c r="D30" s="58"/>
      <c r="E30" s="59"/>
      <c r="F30" s="54"/>
      <c r="G30" s="33"/>
      <c r="H30" s="34" t="s">
        <v>29</v>
      </c>
      <c r="I30" s="2">
        <f>I28+I29</f>
        <v>-1.3551874999999995</v>
      </c>
      <c r="J30" s="60"/>
    </row>
    <row r="31" spans="1:10" ht="38.25" x14ac:dyDescent="0.3">
      <c r="B31" s="61"/>
      <c r="C31" s="45"/>
      <c r="D31" s="61">
        <f>SUM(D11:D30)</f>
        <v>37510.28</v>
      </c>
      <c r="E31" s="62" t="s">
        <v>23</v>
      </c>
      <c r="F31" s="63">
        <f>SUM(F29,F20,F11)</f>
        <v>28120.192092464062</v>
      </c>
      <c r="G31" s="64"/>
      <c r="H31" s="65"/>
      <c r="I31" s="80"/>
      <c r="J31" s="56"/>
    </row>
    <row r="32" spans="1:10" ht="36" customHeight="1" x14ac:dyDescent="0.25">
      <c r="C32" s="32"/>
      <c r="E32" s="66"/>
      <c r="F32" s="54"/>
    </row>
    <row r="33" spans="1:10" ht="39" customHeight="1" x14ac:dyDescent="0.25">
      <c r="A33" s="67" t="s">
        <v>12</v>
      </c>
      <c r="B33" s="7" t="s">
        <v>3</v>
      </c>
      <c r="C33" s="7" t="s">
        <v>0</v>
      </c>
      <c r="D33" s="4" t="s">
        <v>5</v>
      </c>
      <c r="E33" s="68" t="s">
        <v>6</v>
      </c>
      <c r="F33" s="69" t="s">
        <v>7</v>
      </c>
    </row>
    <row r="34" spans="1:10" x14ac:dyDescent="0.25">
      <c r="B34" s="6">
        <v>8578</v>
      </c>
      <c r="C34" s="6">
        <v>57827</v>
      </c>
      <c r="D34" s="6">
        <v>1077</v>
      </c>
      <c r="E34" s="70">
        <f>SUM(B34:D34)</f>
        <v>67482</v>
      </c>
    </row>
    <row r="35" spans="1:10" x14ac:dyDescent="0.25">
      <c r="A35" s="4" t="s">
        <v>1</v>
      </c>
      <c r="B35" s="6">
        <f>SUM(-B34*0.025)</f>
        <v>-214.45000000000002</v>
      </c>
      <c r="C35" s="6">
        <f>SUM(-C34*0.025)</f>
        <v>-1445.6750000000002</v>
      </c>
      <c r="D35" s="6">
        <f>SUM(-D34*0.025)</f>
        <v>-26.925000000000001</v>
      </c>
      <c r="E35" s="70">
        <f t="shared" ref="E35:E40" si="9">SUM(B35:D35)</f>
        <v>-1687.0500000000002</v>
      </c>
    </row>
    <row r="36" spans="1:10" x14ac:dyDescent="0.25">
      <c r="B36" s="6">
        <f>SUM(B34:B35)</f>
        <v>8363.5499999999993</v>
      </c>
      <c r="C36" s="6">
        <f>SUM(C34:C35)</f>
        <v>56381.324999999997</v>
      </c>
      <c r="D36" s="6">
        <f t="shared" ref="D36" si="10">SUM(D34:D35)</f>
        <v>1050.075</v>
      </c>
      <c r="E36" s="70">
        <f t="shared" si="9"/>
        <v>65794.95</v>
      </c>
    </row>
    <row r="37" spans="1:10" x14ac:dyDescent="0.25">
      <c r="A37" s="71" t="s">
        <v>2</v>
      </c>
      <c r="B37" s="72">
        <f>SUM(-B36*0.025)</f>
        <v>-209.08875</v>
      </c>
      <c r="C37" s="72">
        <f>SUM(-C36*0.025)</f>
        <v>-1409.5331249999999</v>
      </c>
      <c r="D37" s="72">
        <f t="shared" ref="D37" si="11">SUM(-D36*0.025)</f>
        <v>-26.251875000000002</v>
      </c>
      <c r="E37" s="72">
        <f t="shared" si="9"/>
        <v>-1644.8737499999997</v>
      </c>
      <c r="F37" s="73">
        <v>-3289.95</v>
      </c>
      <c r="H37" s="71" t="s">
        <v>21</v>
      </c>
      <c r="I37" s="71"/>
      <c r="J37" s="71"/>
    </row>
    <row r="38" spans="1:10" x14ac:dyDescent="0.25">
      <c r="B38" s="6">
        <f>SUM(B36:B37)</f>
        <v>8154.4612499999994</v>
      </c>
      <c r="C38" s="6">
        <f>SUM(C36:C37)</f>
        <v>54971.791874999995</v>
      </c>
      <c r="D38" s="6">
        <f t="shared" ref="D38" si="12">SUM(D36:D37)</f>
        <v>1023.823125</v>
      </c>
      <c r="E38" s="74">
        <f t="shared" si="9"/>
        <v>64150.076249999998</v>
      </c>
      <c r="F38" s="75">
        <v>62505.2</v>
      </c>
      <c r="H38" s="4" t="s">
        <v>8</v>
      </c>
    </row>
    <row r="39" spans="1:10" x14ac:dyDescent="0.25">
      <c r="A39" s="4" t="s">
        <v>4</v>
      </c>
      <c r="B39" s="6">
        <f>SUM(B38*0.05)</f>
        <v>407.72306249999997</v>
      </c>
      <c r="C39" s="6">
        <f>SUM(C38*0.05)</f>
        <v>2748.5895937499999</v>
      </c>
      <c r="D39" s="6">
        <f t="shared" ref="D39" si="13">SUM(D38*0.05)</f>
        <v>51.191156250000006</v>
      </c>
      <c r="E39" s="74">
        <f t="shared" si="9"/>
        <v>3207.5038125000001</v>
      </c>
      <c r="F39" s="74">
        <f>SUM(F38*0.05)</f>
        <v>3125.26</v>
      </c>
      <c r="H39" s="6">
        <v>26781.13</v>
      </c>
      <c r="I39" s="6"/>
      <c r="J39" s="6"/>
    </row>
    <row r="40" spans="1:10" x14ac:dyDescent="0.25">
      <c r="B40" s="44">
        <f>SUM(B38:B39)</f>
        <v>8562.1843124999996</v>
      </c>
      <c r="C40" s="44">
        <f>SUM(C38:C39)</f>
        <v>57720.381468749998</v>
      </c>
      <c r="D40" s="44">
        <f t="shared" ref="D40" si="14">SUM(D38:D39)</f>
        <v>1075.0142812500001</v>
      </c>
      <c r="E40" s="74">
        <f t="shared" si="9"/>
        <v>67357.580062499997</v>
      </c>
      <c r="F40" s="74">
        <f>SUM(F38:F39)</f>
        <v>65630.459999999992</v>
      </c>
      <c r="H40" s="6">
        <v>1339.06</v>
      </c>
      <c r="I40" s="6"/>
      <c r="J40" s="6"/>
    </row>
    <row r="41" spans="1:10" ht="15" x14ac:dyDescent="0.35">
      <c r="C41" s="6"/>
      <c r="H41" s="76">
        <f>SUM(H39:H40)</f>
        <v>28120.190000000002</v>
      </c>
      <c r="I41" s="76"/>
      <c r="J41" s="76"/>
    </row>
  </sheetData>
  <mergeCells count="1">
    <mergeCell ref="G4:J4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B20663067D104F808448A2CE098101" ma:contentTypeVersion="12" ma:contentTypeDescription="Create a new document." ma:contentTypeScope="" ma:versionID="884885018f11243b9ddf90bf6b52f8cd">
  <xsd:schema xmlns:xsd="http://www.w3.org/2001/XMLSchema" xmlns:xs="http://www.w3.org/2001/XMLSchema" xmlns:p="http://schemas.microsoft.com/office/2006/metadata/properties" xmlns:ns2="0dddf3cb-0bd4-4e55-ab2c-5abd4ce7580a" xmlns:ns3="0939dbf7-a5b3-4eeb-9dff-eb084b7b473e" targetNamespace="http://schemas.microsoft.com/office/2006/metadata/properties" ma:root="true" ma:fieldsID="0cc284a36971622a35b7bcf9fa4862d3" ns2:_="" ns3:_="">
    <xsd:import namespace="0dddf3cb-0bd4-4e55-ab2c-5abd4ce7580a"/>
    <xsd:import namespace="0939dbf7-a5b3-4eeb-9dff-eb084b7b473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ddf3cb-0bd4-4e55-ab2c-5abd4ce758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39dbf7-a5b3-4eeb-9dff-eb084b7b473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6D3770-BCF6-40A0-A6B7-0E9BCB8B31B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8D9089B-0BD1-4B37-B1F7-BFDA2B5CFCC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AF3BDEF-992A-42B6-A4C6-9211F6C387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ddf3cb-0bd4-4e55-ab2c-5abd4ce7580a"/>
    <ds:schemaRef ds:uri="0939dbf7-a5b3-4eeb-9dff-eb084b7b473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Leeana Taft</dc:creator>
  <cp:lastModifiedBy>Jacqui Jepson</cp:lastModifiedBy>
  <dcterms:created xsi:type="dcterms:W3CDTF">2020-12-17T17:59:11Z</dcterms:created>
  <dcterms:modified xsi:type="dcterms:W3CDTF">2021-01-05T16:36:12Z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0x01010083B20663067D104F808448A2CE098101</vt:lpwstr>
  </property>
</Properties>
</file>