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smine_cpinteriors_je/Documents/Docs for BM/"/>
    </mc:Choice>
  </mc:AlternateContent>
  <xr:revisionPtr revIDLastSave="0" documentId="8_{6747D4FE-B78F-4809-9D6B-7CAB736DEA7A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R12" i="7"/>
  <c r="F12" i="7"/>
  <c r="F27" i="7" s="1"/>
  <c r="R13" i="7"/>
  <c r="F13" i="7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G13" i="7"/>
  <c r="G28" i="7" s="1"/>
  <c r="K13" i="7"/>
  <c r="C13" i="7"/>
  <c r="L13" i="7"/>
  <c r="U13" i="7"/>
  <c r="V13" i="7"/>
  <c r="D13" i="7"/>
  <c r="J12" i="7"/>
  <c r="G12" i="7"/>
  <c r="G27" i="7" s="1"/>
  <c r="K12" i="7"/>
  <c r="C12" i="7"/>
  <c r="L12" i="7"/>
  <c r="U12" i="7"/>
  <c r="V12" i="7"/>
  <c r="D12" i="7"/>
  <c r="J11" i="7"/>
  <c r="G11" i="7"/>
  <c r="G26" i="7" s="1"/>
  <c r="K11" i="7"/>
  <c r="C11" i="7"/>
  <c r="C26" i="7" s="1"/>
  <c r="L11" i="7"/>
  <c r="U11" i="7"/>
  <c r="V11" i="7"/>
  <c r="D11" i="7"/>
  <c r="J10" i="7"/>
  <c r="G10" i="7"/>
  <c r="K10" i="7"/>
  <c r="C10" i="7"/>
  <c r="C40" i="7" s="1"/>
  <c r="L10" i="7"/>
  <c r="U10" i="7"/>
  <c r="V10" i="7"/>
  <c r="D10" i="7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27" i="7" s="1"/>
  <c r="Q13" i="7"/>
  <c r="Q28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C41" i="7"/>
  <c r="C43" i="7"/>
  <c r="C28" i="7"/>
  <c r="H30" i="7"/>
  <c r="C45" i="7"/>
  <c r="C30" i="7"/>
  <c r="H32" i="7"/>
  <c r="C47" i="7"/>
  <c r="C32" i="7"/>
  <c r="C42" i="7"/>
  <c r="C27" i="7"/>
  <c r="C44" i="7"/>
  <c r="C29" i="7"/>
  <c r="H31" i="7"/>
  <c r="C46" i="7"/>
  <c r="C31" i="7"/>
  <c r="H33" i="7"/>
  <c r="I35" i="13"/>
  <c r="H35" i="6"/>
  <c r="C23" i="7"/>
  <c r="Q31" i="7"/>
  <c r="Q46" i="7" s="1"/>
  <c r="Q33" i="7"/>
  <c r="Q48" i="7" s="1"/>
  <c r="H12" i="7"/>
  <c r="J13" i="6" s="1"/>
  <c r="J13" i="13" s="1"/>
  <c r="K33" i="7"/>
  <c r="K29" i="7"/>
  <c r="L27" i="7"/>
  <c r="L25" i="7"/>
  <c r="D25" i="7"/>
  <c r="D27" i="7"/>
  <c r="L28" i="7"/>
  <c r="U25" i="7"/>
  <c r="J23" i="7"/>
  <c r="V27" i="7"/>
  <c r="V24" i="7"/>
  <c r="K24" i="7"/>
  <c r="D24" i="7"/>
  <c r="D28" i="7"/>
  <c r="U23" i="7"/>
  <c r="H48" i="7"/>
  <c r="U27" i="7"/>
  <c r="U24" i="7"/>
  <c r="D23" i="7"/>
  <c r="K26" i="7"/>
  <c r="J28" i="7"/>
  <c r="J25" i="7"/>
  <c r="V26" i="7"/>
  <c r="V23" i="7"/>
  <c r="K25" i="7"/>
  <c r="U26" i="7"/>
  <c r="J24" i="7"/>
  <c r="K28" i="7"/>
  <c r="V25" i="7"/>
  <c r="J27" i="7"/>
  <c r="L24" i="7"/>
  <c r="V28" i="7"/>
  <c r="D26" i="7"/>
  <c r="K23" i="7"/>
  <c r="J26" i="7"/>
  <c r="L23" i="7"/>
  <c r="L26" i="7"/>
  <c r="K27" i="7"/>
  <c r="U28" i="7"/>
  <c r="V43" i="7" l="1"/>
  <c r="U43" i="7"/>
  <c r="R28" i="7"/>
  <c r="R43" i="7" s="1"/>
  <c r="H27" i="7"/>
  <c r="D43" i="7"/>
  <c r="X43" i="7" s="1"/>
  <c r="V42" i="7"/>
  <c r="U42" i="7"/>
  <c r="D42" i="7"/>
  <c r="X42" i="7" s="1"/>
  <c r="V41" i="7"/>
  <c r="U41" i="7"/>
  <c r="D41" i="7"/>
  <c r="X41" i="7" s="1"/>
  <c r="V40" i="7"/>
  <c r="U40" i="7"/>
  <c r="D40" i="7"/>
  <c r="X40" i="7" s="1"/>
  <c r="C25" i="7"/>
  <c r="V39" i="7"/>
  <c r="U39" i="7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F23" i="7"/>
  <c r="C39" i="7"/>
  <c r="H10" i="7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J16" i="6" s="1"/>
  <c r="J16" i="13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X48" i="7"/>
  <c r="W48" i="7"/>
  <c r="H45" i="7"/>
  <c r="H42" i="7"/>
  <c r="H38" i="7"/>
  <c r="H46" i="7"/>
  <c r="H47" i="7"/>
  <c r="H43" i="7"/>
  <c r="H44" i="7"/>
  <c r="H39" i="7"/>
  <c r="H40" i="7"/>
  <c r="H41" i="7"/>
  <c r="Q43" i="7" l="1"/>
  <c r="J14" i="6"/>
  <c r="J14" i="13" s="1"/>
  <c r="H28" i="7"/>
  <c r="Q42" i="7"/>
  <c r="Q41" i="7"/>
  <c r="J12" i="6"/>
  <c r="J12" i="13" s="1"/>
  <c r="H26" i="7"/>
  <c r="Q40" i="7"/>
  <c r="J11" i="6"/>
  <c r="J11" i="13" s="1"/>
  <c r="H25" i="7"/>
  <c r="Q39" i="7"/>
  <c r="H24" i="7"/>
  <c r="Q38" i="7"/>
  <c r="L39" i="7"/>
  <c r="L38" i="7"/>
  <c r="L40" i="7"/>
  <c r="L44" i="7"/>
  <c r="Y44" i="7" s="1"/>
  <c r="Z44" i="7" s="1"/>
  <c r="N29" i="6" s="1"/>
  <c r="L47" i="7"/>
  <c r="Y47" i="7" s="1"/>
  <c r="Z47" i="7" s="1"/>
  <c r="AA47" i="7" s="1"/>
  <c r="L43" i="7"/>
  <c r="L46" i="7"/>
  <c r="Y46" i="7" s="1"/>
  <c r="Z46" i="7" s="1"/>
  <c r="N31" i="6" s="1"/>
  <c r="L42" i="7"/>
  <c r="L45" i="7"/>
  <c r="Y45" i="7" s="1"/>
  <c r="Z45" i="7" s="1"/>
  <c r="N30" i="6" s="1"/>
  <c r="L41" i="7"/>
  <c r="H19" i="7"/>
  <c r="J9" i="6"/>
  <c r="D54" i="7"/>
  <c r="O35" i="6" s="1"/>
  <c r="AB48" i="7"/>
  <c r="Z48" i="7"/>
  <c r="N33" i="6" s="1"/>
  <c r="AB46" i="7"/>
  <c r="Y43" i="7" l="1"/>
  <c r="W43" i="7"/>
  <c r="AB43" i="7" s="1"/>
  <c r="Y42" i="7"/>
  <c r="W42" i="7"/>
  <c r="AB42" i="7" s="1"/>
  <c r="Y41" i="7"/>
  <c r="W41" i="7"/>
  <c r="AB41" i="7" s="1"/>
  <c r="Y40" i="7"/>
  <c r="W40" i="7"/>
  <c r="AB40" i="7" s="1"/>
  <c r="W39" i="7"/>
  <c r="AB39" i="7" s="1"/>
  <c r="Y39" i="7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6" i="7"/>
  <c r="AA48" i="7"/>
  <c r="Z43" i="7" l="1"/>
  <c r="Z42" i="7"/>
  <c r="Z41" i="7"/>
  <c r="Z39" i="7"/>
  <c r="Z40" i="7"/>
  <c r="N25" i="6" s="1"/>
  <c r="AB51" i="7"/>
  <c r="X61" i="7" s="1"/>
  <c r="O37" i="6" s="1"/>
  <c r="Z38" i="7"/>
  <c r="N23" i="6" s="1"/>
  <c r="N28" i="6" l="1"/>
  <c r="AA43" i="7"/>
  <c r="O28" i="6" s="1"/>
  <c r="N27" i="6"/>
  <c r="AA42" i="7"/>
  <c r="O27" i="6" s="1"/>
  <c r="N26" i="6"/>
  <c r="AA41" i="7"/>
  <c r="O26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O36" i="6" l="1"/>
  <c r="X66" i="7"/>
  <c r="O39" i="6" s="1"/>
  <c r="O40" i="6" s="1"/>
  <c r="O4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<sst xmlns="http://schemas.openxmlformats.org/spreadsheetml/2006/main" count="715" uniqueCount="354">
  <si>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</si>
  <si>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</si>
  <si>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</si>
  <si>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</si>
  <si>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</si>
  <si>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</si>
  <si>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</si>
  <si>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</si>
  <si>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</si>
  <si>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</si>
  <si>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</si>
  <si>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</si>
  <si>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</si>
  <si>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</si>
  <si>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</si>
  <si>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</si>
  <si>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</si>
  <si>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</si>
  <si>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</si>
  <si>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</si>
  <si>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</si>
  <si>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</si>
  <si>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</si>
  <si>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</si>
  <si>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</si>
  <si>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</si>
  <si>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</si>
  <si>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</si>
  <si>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</si>
  <si>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</si>
  <si>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</si>
  <si>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</si>
  <si>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</si>
  <si>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</si>
  <si>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</si>
  <si>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</si>
  <si>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</si>
  <si>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</si>
  <si>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</si>
  <si>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</si>
  <si>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</si>
  <si>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</si>
  <si>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</si>
  <si>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</si>
  <si>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</si>
  <si>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</si>
  <si>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</si>
  <si>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</si>
  <si>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</si>
  <si>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</si>
  <si>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</si>
  <si>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</si>
  <si>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</si>
  <si>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</si>
  <si>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</si>
  <si>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</si>
  <si>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</si>
  <si>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</si>
  <si>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</si>
  <si>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</si>
  <si>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</si>
  <si>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</si>
  <si>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</si>
  <si>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</si>
  <si>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</si>
  <si>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</si>
  <si>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</si>
  <si>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</si>
  <si>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</si>
  <si>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</si>
  <si>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</si>
  <si>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</si>
  <si>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</si>
  <si>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</si>
  <si>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</si>
  <si>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</si>
  <si>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</si>
  <si>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</si>
  <si>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</si>
  <si>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</si>
  <si>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</si>
  <si>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</si>
  <si>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</si>
  <si>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</si>
  <si>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</si>
  <si>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</si>
  <si>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</si>
  <si>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</si>
  <si>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</si>
  <si>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</si>
  <si>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</si>
  <si>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</si>
  <si>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</si>
  <si>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</si>
  <si>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</si>
  <si>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</si>
  <si>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</si>
  <si>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</si>
  <si>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</si>
  <si>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</si>
  <si>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</si>
  <si>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</si>
  <si>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</si>
  <si>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</si>
  <si>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</si>
  <si>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</si>
  <si>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</si>
  <si>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</si>
  <si>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</si>
  <si>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</si>
  <si>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</si>
  <si>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</si>
  <si>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</si>
  <si>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</si>
  <si>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</si>
  <si>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</si>
  <si>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</si>
  <si>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</si>
  <si>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</si>
  <si>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</si>
  <si>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</si>
  <si>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</si>
  <si>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</si>
  <si>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</si>
  <si>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</si>
  <si>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</si>
  <si>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</si>
  <si>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</si>
  <si>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</si>
  <si>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</si>
  <si>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</si>
  <si>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</si>
  <si>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</si>
  <si>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</si>
  <si>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</si>
  <si>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</si>
  <si>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</si>
  <si>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</si>
  <si>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</si>
  <si>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</si>
  <si>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</si>
  <si>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</si>
  <si>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</si>
  <si>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</si>
  <si>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</si>
  <si>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</si>
  <si>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</si>
  <si>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</si>
  <si>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</si>
  <si>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</si>
  <si>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</si>
  <si>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</si>
  <si>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</si>
  <si>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</si>
  <si>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</si>
  <si>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</si>
  <si>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</si>
  <si>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</si>
  <si>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</si>
  <si>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</si>
  <si>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</si>
  <si>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</si>
  <si>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</si>
  <si>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</si>
  <si>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</si>
  <si>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</si>
  <si>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</si>
  <si>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</si>
  <si>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</si>
  <si>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</si>
  <si>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</si>
  <si>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</si>
  <si>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</si>
  <si>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</si>
  <si>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</si>
  <si>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</si>
  <si>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</si>
  <si>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</si>
  <si>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</si>
  <si>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</si>
  <si>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</si>
  <si>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</si>
  <si>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</si>
  <si>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</si>
  <si>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</si>
  <si>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</si>
  <si>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</si>
  <si>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</si>
  <si>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</si>
  <si>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</si>
  <si>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</si>
  <si>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</si>
  <si>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</si>
  <si>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</si>
  <si>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</si>
  <si>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</si>
  <si>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</si>
  <si>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</si>
  <si>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</si>
  <si>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</si>
  <si>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</si>
  <si>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</si>
  <si>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</si>
  <si>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</si>
  <si>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</si>
  <si>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</si>
  <si>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</si>
  <si>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</si>
  <si>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</si>
  <si>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</si>
  <si>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</si>
  <si>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</si>
  <si>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</si>
  <si>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</si>
  <si>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</si>
  <si>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</si>
  <si>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</si>
  <si>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</si>
  <si>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</si>
  <si>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</si>
  <si>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</si>
  <si>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</si>
  <si>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</si>
  <si>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</si>
  <si>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</si>
  <si>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</si>
  <si>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</si>
  <si>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</si>
  <si>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</si>
  <si>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</si>
  <si>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</si>
  <si>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</si>
  <si>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</si>
  <si>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</si>
  <si>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</si>
  <si>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</si>
  <si>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</si>
  <si>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</si>
  <si>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</si>
  <si>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</si>
  <si>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</si>
  <si>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</si>
  <si>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</si>
  <si>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</si>
  <si>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</si>
  <si>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</si>
  <si>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</si>
  <si>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</si>
  <si>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</si>
  <si>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</si>
  <si>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</si>
  <si>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</si>
  <si>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</si>
  <si>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</si>
  <si>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</si>
  <si>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</si>
  <si>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</si>
  <si>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</si>
  <si>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</si>
  <si>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</si>
  <si>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</si>
  <si>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</si>
  <si>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</si>
  <si>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</si>
  <si>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</si>
  <si>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</si>
  <si>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</si>
  <si>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</si>
  <si>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</si>
  <si>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</si>
  <si>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</si>
  <si>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</si>
  <si>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</si>
  <si>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</si>
  <si>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</si>
  <si>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</si>
  <si>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</si>
  <si>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</si>
  <si>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</si>
  <si>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</si>
  <si>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</si>
  <si>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</si>
  <si>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</si>
  <si>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</si>
  <si>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</si>
  <si>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</si>
  <si>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</si>
  <si>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</si>
  <si>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</si>
  <si>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</si>
  <si>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</si>
  <si>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</si>
  <si>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</si>
  <si>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</si>
  <si>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</si>
  <si>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</si>
  <si>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</si>
  <si>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</si>
  <si>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</si>
  <si>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</si>
  <si>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</si>
  <si>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</si>
  <si>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</si>
  <si>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</si>
  <si>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</si>
  <si>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</si>
  <si>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</si>
  <si>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</si>
  <si>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</si>
  <si>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</si>
  <si>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</si>
  <si>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</si>
  <si>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</si>
  <si>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</si>
  <si>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</si>
  <si>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</si>
  <si>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</si>
  <si>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</si>
  <si>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</si>
  <si>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</si>
  <si>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</si>
  <si>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</si>
  <si>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</si>
  <si>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</si>
  <si>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</si>
  <si>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</si>
  <si>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</si>
  <si>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</si>
  <si>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</si>
  <si>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</si>
  <si>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</si>
  <si>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</si>
  <si>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</si>
  <si>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</si>
  <si>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</si>
  <si>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</si>
  <si>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</si>
  <si>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</si>
  <si>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</si>
  <si>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</si>
  <si>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</si>
  <si>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</si>
  <si>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</si>
  <si>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</si>
  <si>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</si>
  <si>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</si>
  <si>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</si>
  <si>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SO8817 / Le Brun</t>
  </si>
  <si>
    <t>Kitchen cott 3</t>
  </si>
  <si>
    <t xml:space="preserve">Bedroom 2 </t>
  </si>
  <si>
    <t>Study</t>
  </si>
  <si>
    <t>Kitchen cot3A</t>
  </si>
  <si>
    <t>bedroom 2 cot3A</t>
  </si>
  <si>
    <t>study cottage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</si>
</sst>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1" fillId="4" borderId="22" xfId="0" applyFont="1" applyFill="1" applyBorder="1" applyAlignment="1" applyProtection="1">
      <protection locked="0"/>
    </xf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Q13" sqref="Q13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4.5053749999999999</v>
      </c>
      <c r="B1" s="17" t="str">
        <f>'Price Calculations'!D1</f>
        <v>Trade</v>
      </c>
      <c r="C1" s="53"/>
      <c r="D1" s="245" t="str">
        <f ca="1">IF(TODAY()&lt;40589,"This Form is Not Valid until 15th Feb","The PureWood Order Form")</f>
        <v>The PureWood Order Form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3" t="s">
        <v>344</v>
      </c>
      <c r="F2" s="254"/>
      <c r="G2" s="255"/>
      <c r="H2" s="31"/>
      <c r="I2" s="32" t="s">
        <v>103</v>
      </c>
      <c r="J2" s="241"/>
      <c r="K2" s="242"/>
      <c r="L2" s="31"/>
      <c r="M2" s="32" t="s">
        <v>104</v>
      </c>
      <c r="N2" s="246"/>
      <c r="O2" s="247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6" t="s">
        <v>345</v>
      </c>
      <c r="F4" s="252"/>
      <c r="G4" s="247"/>
      <c r="H4" s="29"/>
      <c r="I4" s="38" t="s">
        <v>105</v>
      </c>
      <c r="J4" s="243" t="s">
        <v>347</v>
      </c>
      <c r="K4" s="244"/>
      <c r="L4" s="34"/>
      <c r="M4" s="32" t="s">
        <v>106</v>
      </c>
      <c r="N4" s="248"/>
      <c r="O4" s="247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6"/>
      <c r="L5" s="256"/>
      <c r="M5" s="256"/>
      <c r="N5" s="256"/>
      <c r="O5" s="41"/>
      <c r="P5" s="5"/>
    </row>
    <row r="6" spans="1:20" ht="15.75" customHeight="1" thickBot="1" x14ac:dyDescent="0.25">
      <c r="A6" s="240" t="s">
        <v>119</v>
      </c>
      <c r="B6" s="240"/>
      <c r="C6" s="240"/>
      <c r="D6" s="42" t="s">
        <v>97</v>
      </c>
      <c r="E6" s="249" t="s">
        <v>265</v>
      </c>
      <c r="F6" s="250"/>
      <c r="G6" s="251"/>
      <c r="H6" s="43"/>
      <c r="I6" s="42" t="s">
        <v>61</v>
      </c>
      <c r="J6" s="243" t="s">
        <v>246</v>
      </c>
      <c r="K6" s="244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348</v>
      </c>
      <c r="D9" s="12">
        <v>1</v>
      </c>
      <c r="E9" s="12" t="s">
        <v>11</v>
      </c>
      <c r="F9" s="12" t="s">
        <v>65</v>
      </c>
      <c r="G9" s="12" t="s">
        <v>276</v>
      </c>
      <c r="H9" s="12">
        <v>870</v>
      </c>
      <c r="I9" s="12">
        <v>1360</v>
      </c>
      <c r="J9" s="172">
        <f>'Price Calculations'!H8</f>
        <v>1.1832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 t="s">
        <v>349</v>
      </c>
      <c r="D10" s="13">
        <v>1</v>
      </c>
      <c r="E10" s="13" t="s">
        <v>11</v>
      </c>
      <c r="F10" s="13" t="s">
        <v>65</v>
      </c>
      <c r="G10" s="13" t="s">
        <v>276</v>
      </c>
      <c r="H10" s="13">
        <v>515</v>
      </c>
      <c r="I10" s="13">
        <v>1100</v>
      </c>
      <c r="J10" s="172">
        <f>'Price Calculations'!H9</f>
        <v>0.5665</v>
      </c>
      <c r="K10" s="13" t="s">
        <v>283</v>
      </c>
      <c r="L10" s="13" t="s">
        <v>91</v>
      </c>
      <c r="M10" s="13" t="s">
        <v>91</v>
      </c>
      <c r="N10" s="13" t="s">
        <v>85</v>
      </c>
      <c r="O10" s="193" t="s">
        <v>85</v>
      </c>
    </row>
    <row r="11" spans="1:20" ht="15" customHeight="1" x14ac:dyDescent="0.2">
      <c r="B11" s="10" t="s">
        <v>4</v>
      </c>
      <c r="C11" s="219" t="s">
        <v>350</v>
      </c>
      <c r="D11" s="14">
        <v>1</v>
      </c>
      <c r="E11" s="14" t="s">
        <v>11</v>
      </c>
      <c r="F11" s="14" t="s">
        <v>65</v>
      </c>
      <c r="G11" s="14" t="s">
        <v>276</v>
      </c>
      <c r="H11" s="14">
        <v>530</v>
      </c>
      <c r="I11" s="14">
        <v>1090</v>
      </c>
      <c r="J11" s="173">
        <f>'Price Calculations'!H10</f>
        <v>0.57769999999999999</v>
      </c>
      <c r="K11" s="14" t="s">
        <v>283</v>
      </c>
      <c r="L11" s="14" t="s">
        <v>91</v>
      </c>
      <c r="M11" s="14" t="s">
        <v>91</v>
      </c>
      <c r="N11" s="14" t="s">
        <v>85</v>
      </c>
      <c r="O11" s="194" t="s">
        <v>85</v>
      </c>
    </row>
    <row r="12" spans="1:20" s="6" customFormat="1" ht="15" customHeight="1" x14ac:dyDescent="0.2">
      <c r="A12"/>
      <c r="B12" s="9" t="s">
        <v>5</v>
      </c>
      <c r="C12" s="179" t="s">
        <v>351</v>
      </c>
      <c r="D12" s="13">
        <v>1</v>
      </c>
      <c r="E12" s="13" t="s">
        <v>11</v>
      </c>
      <c r="F12" s="13" t="s">
        <v>65</v>
      </c>
      <c r="G12" s="13" t="s">
        <v>275</v>
      </c>
      <c r="H12" s="13">
        <v>805</v>
      </c>
      <c r="I12" s="13">
        <v>1305</v>
      </c>
      <c r="J12" s="172">
        <f>'Price Calculations'!H11</f>
        <v>1.0505249999999999</v>
      </c>
      <c r="K12" s="13" t="s">
        <v>283</v>
      </c>
      <c r="L12" s="13" t="s">
        <v>91</v>
      </c>
      <c r="M12" s="13" t="s">
        <v>91</v>
      </c>
      <c r="N12" s="13" t="s">
        <v>85</v>
      </c>
      <c r="O12" s="193" t="s">
        <v>85</v>
      </c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352</v>
      </c>
      <c r="D13" s="12">
        <v>1</v>
      </c>
      <c r="E13" s="12" t="s">
        <v>11</v>
      </c>
      <c r="F13" s="12" t="s">
        <v>65</v>
      </c>
      <c r="G13" s="12" t="s">
        <v>276</v>
      </c>
      <c r="H13" s="12">
        <v>515</v>
      </c>
      <c r="I13" s="12">
        <v>1090</v>
      </c>
      <c r="J13" s="174">
        <f>'Price Calculations'!H12</f>
        <v>0.56135000000000002</v>
      </c>
      <c r="K13" s="12" t="s">
        <v>283</v>
      </c>
      <c r="L13" s="12" t="s">
        <v>91</v>
      </c>
      <c r="M13" s="12" t="s">
        <v>91</v>
      </c>
      <c r="N13" s="12" t="s">
        <v>85</v>
      </c>
      <c r="O13" s="192" t="s">
        <v>85</v>
      </c>
    </row>
    <row r="14" spans="1:20" s="6" customFormat="1" ht="15" customHeight="1" x14ac:dyDescent="0.2">
      <c r="A14"/>
      <c r="B14" s="49" t="s">
        <v>107</v>
      </c>
      <c r="C14" s="179" t="s">
        <v>353</v>
      </c>
      <c r="D14" s="50">
        <v>1</v>
      </c>
      <c r="E14" s="50" t="s">
        <v>11</v>
      </c>
      <c r="F14" s="50" t="s">
        <v>65</v>
      </c>
      <c r="G14" s="50" t="s">
        <v>276</v>
      </c>
      <c r="H14" s="50">
        <v>510</v>
      </c>
      <c r="I14" s="50">
        <v>1110</v>
      </c>
      <c r="J14" s="175">
        <f>'Price Calculations'!H13</f>
        <v>0.56610000000000005</v>
      </c>
      <c r="K14" s="50" t="s">
        <v>283</v>
      </c>
      <c r="L14" s="50" t="s">
        <v>91</v>
      </c>
      <c r="M14" s="50" t="s">
        <v>91</v>
      </c>
      <c r="N14" s="50" t="s">
        <v>85</v>
      </c>
      <c r="O14" s="195" t="s">
        <v>85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4.5053749999999999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239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310</v>
      </c>
      <c r="N23" s="8">
        <f ca="1">IF(ISNA('Price Calculations'!Z38),"",ROUND('Price Calculations'!Z38,2))</f>
        <v>71.09</v>
      </c>
      <c r="O23" s="213">
        <f ca="1">IF(C9="","",IF(ISNA('Price Calculations'!AA38),"Incomplete details",'Price Calculations'!AA38))</f>
        <v>71.09</v>
      </c>
    </row>
    <row r="24" spans="1:21" ht="15" customHeight="1" x14ac:dyDescent="0.2">
      <c r="B24" s="9" t="s">
        <v>3</v>
      </c>
      <c r="C24" s="13" t="s">
        <v>91</v>
      </c>
      <c r="D24" s="13" t="s">
        <v>239</v>
      </c>
      <c r="E24" s="13" t="s">
        <v>57</v>
      </c>
      <c r="F24" s="13" t="s">
        <v>57</v>
      </c>
      <c r="G24" s="137" t="s">
        <v>195</v>
      </c>
      <c r="H24" s="137" t="s">
        <v>113</v>
      </c>
      <c r="I24" s="70" t="s">
        <v>138</v>
      </c>
      <c r="J24" s="13" t="s">
        <v>35</v>
      </c>
      <c r="K24" s="142">
        <v>1</v>
      </c>
      <c r="L24" s="13" t="s">
        <v>113</v>
      </c>
      <c r="M24" s="208" t="s">
        <v>310</v>
      </c>
      <c r="N24" s="9">
        <f ca="1">IF(ISNA('Price Calculations'!Z39),"",ROUND('Price Calculations'!Z39,2))</f>
        <v>46.84</v>
      </c>
      <c r="O24" s="199">
        <f ca="1">IF(C10="","",IF(ISNA('Price Calculations'!AA39),"Incomplete details",'Price Calculations'!AA39))</f>
        <v>46.836999999999996</v>
      </c>
    </row>
    <row r="25" spans="1:21" ht="15" customHeight="1" x14ac:dyDescent="0.2">
      <c r="B25" s="10" t="s">
        <v>4</v>
      </c>
      <c r="C25" s="14" t="s">
        <v>91</v>
      </c>
      <c r="D25" s="14" t="s">
        <v>239</v>
      </c>
      <c r="E25" s="14" t="s">
        <v>57</v>
      </c>
      <c r="F25" s="14" t="s">
        <v>57</v>
      </c>
      <c r="G25" s="138" t="s">
        <v>195</v>
      </c>
      <c r="H25" s="138" t="s">
        <v>113</v>
      </c>
      <c r="I25" s="71" t="s">
        <v>138</v>
      </c>
      <c r="J25" s="14" t="s">
        <v>35</v>
      </c>
      <c r="K25" s="143">
        <v>1</v>
      </c>
      <c r="L25" s="14" t="s">
        <v>113</v>
      </c>
      <c r="M25" s="209" t="s">
        <v>310</v>
      </c>
      <c r="N25" s="10">
        <f ca="1">IF(ISNA('Price Calculations'!Z40),"",ROUND('Price Calculations'!Z40,2))</f>
        <v>46.84</v>
      </c>
      <c r="O25" s="198">
        <f ca="1">IF(C11="","",IF(ISNA('Price Calculations'!AA40),"Incomplete details",'Price Calculations'!AA40))</f>
        <v>46.836999999999996</v>
      </c>
    </row>
    <row r="26" spans="1:21" ht="15" customHeight="1" x14ac:dyDescent="0.2">
      <c r="B26" s="9" t="s">
        <v>5</v>
      </c>
      <c r="C26" s="13" t="s">
        <v>91</v>
      </c>
      <c r="D26" s="13" t="s">
        <v>239</v>
      </c>
      <c r="E26" s="13" t="s">
        <v>56</v>
      </c>
      <c r="F26" s="13" t="s">
        <v>56</v>
      </c>
      <c r="G26" s="137" t="s">
        <v>195</v>
      </c>
      <c r="H26" s="137" t="s">
        <v>113</v>
      </c>
      <c r="I26" s="70" t="s">
        <v>138</v>
      </c>
      <c r="J26" s="13" t="s">
        <v>35</v>
      </c>
      <c r="K26" s="142">
        <v>1</v>
      </c>
      <c r="L26" s="13" t="s">
        <v>113</v>
      </c>
      <c r="M26" s="208" t="s">
        <v>310</v>
      </c>
      <c r="N26" s="9">
        <f ca="1">IF(ISNA('Price Calculations'!Z41),"",ROUND('Price Calculations'!Z41,2))</f>
        <v>71.09</v>
      </c>
      <c r="O26" s="199">
        <f ca="1">IF(C12="","",IF(ISNA('Price Calculations'!AA41),"Incomplete details",'Price Calculations'!AA41))</f>
        <v>71.091999999999999</v>
      </c>
    </row>
    <row r="27" spans="1:21" ht="15" customHeight="1" x14ac:dyDescent="0.2">
      <c r="B27" s="8" t="s">
        <v>6</v>
      </c>
      <c r="C27" s="12" t="s">
        <v>91</v>
      </c>
      <c r="D27" s="12" t="s">
        <v>239</v>
      </c>
      <c r="E27" s="12" t="s">
        <v>57</v>
      </c>
      <c r="F27" s="12" t="s">
        <v>57</v>
      </c>
      <c r="G27" s="136" t="s">
        <v>195</v>
      </c>
      <c r="H27" s="136" t="s">
        <v>113</v>
      </c>
      <c r="I27" s="69" t="s">
        <v>138</v>
      </c>
      <c r="J27" s="12" t="s">
        <v>35</v>
      </c>
      <c r="K27" s="141">
        <v>1</v>
      </c>
      <c r="L27" s="12" t="s">
        <v>113</v>
      </c>
      <c r="M27" s="207" t="s">
        <v>310</v>
      </c>
      <c r="N27" s="8">
        <f ca="1">IF(ISNA('Price Calculations'!Z42),"",ROUND('Price Calculations'!Z42,2))</f>
        <v>46.84</v>
      </c>
      <c r="O27" s="213">
        <f ca="1">IF(C13="","",IF(ISNA('Price Calculations'!AA42),"Incomplete details",'Price Calculations'!AA42))</f>
        <v>46.836999999999996</v>
      </c>
    </row>
    <row r="28" spans="1:21" ht="15" customHeight="1" x14ac:dyDescent="0.2">
      <c r="B28" s="49" t="s">
        <v>107</v>
      </c>
      <c r="C28" s="50" t="s">
        <v>91</v>
      </c>
      <c r="D28" s="50" t="s">
        <v>239</v>
      </c>
      <c r="E28" s="50" t="s">
        <v>57</v>
      </c>
      <c r="F28" s="50" t="s">
        <v>57</v>
      </c>
      <c r="G28" s="137" t="s">
        <v>195</v>
      </c>
      <c r="H28" s="137" t="s">
        <v>113</v>
      </c>
      <c r="I28" s="70" t="s">
        <v>138</v>
      </c>
      <c r="J28" s="50" t="s">
        <v>35</v>
      </c>
      <c r="K28" s="148">
        <v>1</v>
      </c>
      <c r="L28" s="50" t="s">
        <v>113</v>
      </c>
      <c r="M28" s="210" t="s">
        <v>334</v>
      </c>
      <c r="N28" s="49">
        <f ca="1">IF(ISNA('Price Calculations'!Z43),"",ROUND('Price Calculations'!Z43,2))</f>
        <v>46.84</v>
      </c>
      <c r="O28" s="199">
        <f ca="1">IF(C14="","",IF(ISNA('Price Calculations'!AA43),"Incomplete details",'Price Calculations'!AA43))</f>
        <v>46.836999999999996</v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4" t="s">
        <v>64</v>
      </c>
      <c r="C35" s="225"/>
      <c r="D35" s="225"/>
      <c r="E35" s="225"/>
      <c r="F35" s="225"/>
      <c r="G35" s="225"/>
      <c r="H35" s="224" t="str">
        <f>IF(DeliverAddress="Alternative","Alternative Address","")</f>
        <v/>
      </c>
      <c r="I35" s="232"/>
      <c r="J35" s="146" t="s">
        <v>255</v>
      </c>
      <c r="K35" s="214"/>
      <c r="L35" t="str">
        <f>IF(L36&lt;&gt;" ","Extras","")</f>
        <v/>
      </c>
      <c r="M35" s="233"/>
      <c r="N35" s="233"/>
      <c r="O35" s="215">
        <f>'Price Calculations'!D54</f>
        <v>0</v>
      </c>
      <c r="P35" s="204"/>
    </row>
    <row r="36" spans="2:16" x14ac:dyDescent="0.2">
      <c r="B36" s="226"/>
      <c r="C36" s="227"/>
      <c r="D36" s="227"/>
      <c r="E36" s="227"/>
      <c r="F36" s="227"/>
      <c r="G36" s="227"/>
      <c r="H36" s="227"/>
      <c r="I36" s="227"/>
      <c r="J36" s="149"/>
      <c r="K36" s="201"/>
      <c r="L36" s="145" t="str">
        <f>'Price Calculations'!Z59</f>
        <v xml:space="preserve"> </v>
      </c>
      <c r="M36" s="236" t="s">
        <v>256</v>
      </c>
      <c r="N36" s="237"/>
      <c r="O36" s="202">
        <f ca="1">'Price Calculations'!X60</f>
        <v>0</v>
      </c>
      <c r="P36" s="204"/>
    </row>
    <row r="37" spans="2:16" x14ac:dyDescent="0.2">
      <c r="B37" s="228"/>
      <c r="C37" s="229"/>
      <c r="D37" s="229"/>
      <c r="E37" s="229"/>
      <c r="F37" s="229"/>
      <c r="G37" s="229"/>
      <c r="H37" s="229"/>
      <c r="I37" s="229"/>
      <c r="J37" s="150"/>
      <c r="K37" s="201"/>
      <c r="L37" s="145"/>
      <c r="M37" s="238" t="s">
        <v>117</v>
      </c>
      <c r="N37" s="239"/>
      <c r="O37" s="205">
        <f ca="1">'Price Calculations'!X61</f>
        <v>0</v>
      </c>
      <c r="P37" s="204"/>
    </row>
    <row r="38" spans="2:16" ht="13.5" thickBot="1" x14ac:dyDescent="0.25">
      <c r="B38" s="228"/>
      <c r="C38" s="229"/>
      <c r="D38" s="229"/>
      <c r="E38" s="229"/>
      <c r="F38" s="229"/>
      <c r="G38" s="229"/>
      <c r="H38" s="229"/>
      <c r="I38" s="229"/>
      <c r="J38" s="150"/>
      <c r="K38" s="201"/>
      <c r="L38" s="145"/>
      <c r="M38" s="234" t="str">
        <f>IF('Price Calculations'!X59&gt;0,"Extras","")</f>
        <v/>
      </c>
      <c r="N38" s="235"/>
      <c r="O38" s="205">
        <f>'Price Calculations'!X59</f>
        <v>0</v>
      </c>
      <c r="P38" s="204"/>
    </row>
    <row r="39" spans="2:16" x14ac:dyDescent="0.2">
      <c r="B39" s="228"/>
      <c r="C39" s="229"/>
      <c r="D39" s="229"/>
      <c r="E39" s="229"/>
      <c r="F39" s="229"/>
      <c r="G39" s="229"/>
      <c r="H39" s="229"/>
      <c r="I39" s="229"/>
      <c r="J39" s="150"/>
      <c r="K39" s="201"/>
      <c r="L39" s="145"/>
      <c r="M39" s="222" t="s">
        <v>62</v>
      </c>
      <c r="N39" s="223"/>
      <c r="O39" s="202">
        <f ca="1">IF(OR(O24="POA",O25="POA",O26="POA",O27="POA",O28="POA",O29="POA",O30="POA",O31="POA",O32="POA",O33="POA",O35="POA"),"POA",'Price Calculations'!X66+O35+O38)</f>
        <v>329.53</v>
      </c>
      <c r="P39" s="216"/>
    </row>
    <row r="40" spans="2:16" x14ac:dyDescent="0.2">
      <c r="B40" s="228"/>
      <c r="C40" s="229"/>
      <c r="D40" s="229"/>
      <c r="E40" s="229"/>
      <c r="F40" s="229"/>
      <c r="G40" s="229"/>
      <c r="H40" s="229"/>
      <c r="I40" s="229"/>
      <c r="J40" s="150"/>
      <c r="K40" s="201"/>
      <c r="L40" s="145"/>
      <c r="M40" s="222" t="s">
        <v>346</v>
      </c>
      <c r="N40" s="223"/>
      <c r="O40" s="205">
        <f ca="1">IF(O35="POA","POA",ROUND(O39*VAT_Rate,2))</f>
        <v>0</v>
      </c>
      <c r="P40" s="204"/>
    </row>
    <row r="41" spans="2:16" ht="13.5" thickBot="1" x14ac:dyDescent="0.25">
      <c r="B41" s="230"/>
      <c r="C41" s="231"/>
      <c r="D41" s="231"/>
      <c r="E41" s="231"/>
      <c r="F41" s="231"/>
      <c r="G41" s="231"/>
      <c r="H41" s="231"/>
      <c r="I41" s="231"/>
      <c r="J41" s="151"/>
      <c r="K41" s="201"/>
      <c r="L41" s="51"/>
      <c r="M41" s="220" t="s">
        <v>63</v>
      </c>
      <c r="N41" s="221"/>
      <c r="O41" s="203">
        <f ca="1">IF(ISNA(O35),"Incomplete details",IF(O35="POA","POA",SUM(O39:P40)))</f>
        <v>329.53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4.5053749999999999</v>
      </c>
      <c r="B1" s="17" t="str">
        <f>'Price Calculations'!D1</f>
        <v>Trade</v>
      </c>
      <c r="C1" s="53"/>
      <c r="D1" s="245" t="str">
        <f ca="1">IF(TODAY()&lt;40589,"This Form is Not Valid until 15th Feb","The PureWood Order Form")</f>
        <v>The PureWood Order Form</v>
      </c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3" t="str">
        <f>Dealer_Name</f>
        <v>CP Interiors</v>
      </c>
      <c r="F2" s="254"/>
      <c r="G2" s="255"/>
      <c r="H2" s="31"/>
      <c r="I2" s="32" t="s">
        <v>103</v>
      </c>
      <c r="J2" s="241">
        <f>Dealer_Order_No</f>
        <v>0</v>
      </c>
      <c r="K2" s="242"/>
      <c r="L2" s="31"/>
      <c r="M2" s="32" t="s">
        <v>104</v>
      </c>
      <c r="N2" s="246">
        <f>SC_Order_No</f>
        <v>0</v>
      </c>
      <c r="O2" s="247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6" t="str">
        <f>SC_ACno</f>
        <v>CPSUN</v>
      </c>
      <c r="F4" s="252"/>
      <c r="G4" s="247"/>
      <c r="H4" s="29"/>
      <c r="I4" s="38" t="s">
        <v>105</v>
      </c>
      <c r="J4" s="243" t="str">
        <f>Customer_Name</f>
        <v>SO8817 / Le Brun</v>
      </c>
      <c r="K4" s="244"/>
      <c r="L4" s="34"/>
      <c r="M4" s="32" t="s">
        <v>106</v>
      </c>
      <c r="N4" s="248">
        <f>Order_Date</f>
        <v>0</v>
      </c>
      <c r="O4" s="247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6"/>
      <c r="L5" s="256"/>
      <c r="M5" s="256"/>
      <c r="N5" s="256"/>
      <c r="O5" s="41"/>
      <c r="P5" s="5"/>
    </row>
    <row r="6" spans="1:20" ht="15.75" customHeight="1" thickBot="1" x14ac:dyDescent="0.25">
      <c r="A6" s="240" t="s">
        <v>119</v>
      </c>
      <c r="B6" s="240"/>
      <c r="C6" s="240"/>
      <c r="D6" s="42" t="s">
        <v>97</v>
      </c>
      <c r="E6" s="249" t="str">
        <f>WoodType</f>
        <v>PureWood Blinds</v>
      </c>
      <c r="F6" s="250"/>
      <c r="G6" s="251"/>
      <c r="H6" s="43"/>
      <c r="I6" s="42" t="s">
        <v>61</v>
      </c>
      <c r="J6" s="243" t="str">
        <f>DeliveryChoice</f>
        <v>Standard (air)</v>
      </c>
      <c r="K6" s="244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Kitchen cott 3</v>
      </c>
      <c r="D9" s="12">
        <f>'Order Form'!D9</f>
        <v>1</v>
      </c>
      <c r="E9" s="12" t="str">
        <f>'Order Form'!E9</f>
        <v>50.8mm</v>
      </c>
      <c r="F9" s="12" t="str">
        <f>'Order Form'!F9</f>
        <v>001 Pure White</v>
      </c>
      <c r="G9" s="12" t="str">
        <f>'Order Form'!G9</f>
        <v>OM</v>
      </c>
      <c r="H9" s="12">
        <f>'Order Form'!H9</f>
        <v>870</v>
      </c>
      <c r="I9" s="12">
        <f>'Order Form'!I9</f>
        <v>1360</v>
      </c>
      <c r="J9" s="55">
        <f>'Order Form'!J9</f>
        <v>1.1832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 t="str">
        <f>'Order Form'!C10</f>
        <v xml:space="preserve">Bedroom 2 </v>
      </c>
      <c r="D10" s="13">
        <f>'Order Form'!D10</f>
        <v>1</v>
      </c>
      <c r="E10" s="13" t="str">
        <f>'Order Form'!E10</f>
        <v>50.8mm</v>
      </c>
      <c r="F10" s="13" t="str">
        <f>'Order Form'!F10</f>
        <v>001 Pure White</v>
      </c>
      <c r="G10" s="13" t="str">
        <f>'Order Form'!G10</f>
        <v>OM</v>
      </c>
      <c r="H10" s="13">
        <f>'Order Form'!H10</f>
        <v>515</v>
      </c>
      <c r="I10" s="13">
        <f>'Order Form'!I10</f>
        <v>1100</v>
      </c>
      <c r="J10" s="56">
        <f>'Order Form'!J10</f>
        <v>0.5665</v>
      </c>
      <c r="K10" s="13" t="str">
        <f>'Order Form'!L10</f>
        <v>Default</v>
      </c>
      <c r="L10" s="13" t="str">
        <f>'Order Form'!O10</f>
        <v>Not Required</v>
      </c>
      <c r="M10" s="13" t="str">
        <f>'Order Form'!K10</f>
        <v>LC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Study</v>
      </c>
      <c r="D11" s="14">
        <f>'Order Form'!D11</f>
        <v>1</v>
      </c>
      <c r="E11" s="14" t="str">
        <f>'Order Form'!E11</f>
        <v>50.8mm</v>
      </c>
      <c r="F11" s="14" t="str">
        <f>'Order Form'!F11</f>
        <v>001 Pure White</v>
      </c>
      <c r="G11" s="14" t="str">
        <f>'Order Form'!G11</f>
        <v>OM</v>
      </c>
      <c r="H11" s="14">
        <f>'Order Form'!H11</f>
        <v>530</v>
      </c>
      <c r="I11" s="14">
        <f>'Order Form'!I11</f>
        <v>1090</v>
      </c>
      <c r="J11" s="57">
        <f>'Order Form'!J11</f>
        <v>0.57769999999999999</v>
      </c>
      <c r="K11" s="14" t="str">
        <f>'Order Form'!L11</f>
        <v>Default</v>
      </c>
      <c r="L11" s="14" t="str">
        <f>'Order Form'!O11</f>
        <v>Not Required</v>
      </c>
      <c r="M11" s="14" t="str">
        <f>'Order Form'!K11</f>
        <v>LC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Kitchen cot3A</v>
      </c>
      <c r="D12" s="13">
        <f>'Order Form'!D12</f>
        <v>1</v>
      </c>
      <c r="E12" s="13" t="str">
        <f>'Order Form'!E12</f>
        <v>50.8mm</v>
      </c>
      <c r="F12" s="13" t="str">
        <f>'Order Form'!F12</f>
        <v>001 Pure White</v>
      </c>
      <c r="G12" s="13" t="str">
        <f>'Order Form'!G12</f>
        <v>IM</v>
      </c>
      <c r="H12" s="13">
        <f>'Order Form'!H12</f>
        <v>805</v>
      </c>
      <c r="I12" s="13">
        <f>'Order Form'!I12</f>
        <v>1305</v>
      </c>
      <c r="J12" s="56">
        <f>'Order Form'!J12</f>
        <v>1.0505249999999999</v>
      </c>
      <c r="K12" s="13" t="str">
        <f>'Order Form'!L12</f>
        <v>Default</v>
      </c>
      <c r="L12" s="13" t="str">
        <f>'Order Form'!O12</f>
        <v>Not Required</v>
      </c>
      <c r="M12" s="13" t="str">
        <f>'Order Form'!K12</f>
        <v>LC</v>
      </c>
      <c r="N12" s="13" t="str">
        <f>'Order Form'!M12</f>
        <v>Default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bedroom 2 cot3A</v>
      </c>
      <c r="D13" s="12">
        <f>'Order Form'!D13</f>
        <v>1</v>
      </c>
      <c r="E13" s="12" t="str">
        <f>'Order Form'!E13</f>
        <v>50.8mm</v>
      </c>
      <c r="F13" s="12" t="str">
        <f>'Order Form'!F13</f>
        <v>001 Pure White</v>
      </c>
      <c r="G13" s="12" t="str">
        <f>'Order Form'!G13</f>
        <v>OM</v>
      </c>
      <c r="H13" s="12">
        <f>'Order Form'!H13</f>
        <v>515</v>
      </c>
      <c r="I13" s="12">
        <f>'Order Form'!I13</f>
        <v>1090</v>
      </c>
      <c r="J13" s="55">
        <f>'Order Form'!J13</f>
        <v>0.56135000000000002</v>
      </c>
      <c r="K13" s="12" t="str">
        <f>'Order Form'!L13</f>
        <v>Default</v>
      </c>
      <c r="L13" s="12" t="str">
        <f>'Order Form'!O13</f>
        <v>Not Required</v>
      </c>
      <c r="M13" s="12" t="str">
        <f>'Order Form'!K13</f>
        <v>LC</v>
      </c>
      <c r="N13" s="12" t="str">
        <f>'Order Form'!M13</f>
        <v>Default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 t="str">
        <f>'Order Form'!C14</f>
        <v>study cottage 3A</v>
      </c>
      <c r="D14" s="50">
        <f>'Order Form'!D14</f>
        <v>1</v>
      </c>
      <c r="E14" s="50" t="str">
        <f>'Order Form'!E14</f>
        <v>50.8mm</v>
      </c>
      <c r="F14" s="50" t="str">
        <f>'Order Form'!F14</f>
        <v>001 Pure White</v>
      </c>
      <c r="G14" s="50" t="str">
        <f>'Order Form'!G14</f>
        <v>OM</v>
      </c>
      <c r="H14" s="50">
        <f>'Order Form'!H14</f>
        <v>510</v>
      </c>
      <c r="I14" s="50">
        <f>'Order Form'!I14</f>
        <v>1110</v>
      </c>
      <c r="J14" s="58">
        <f>'Order Form'!J14</f>
        <v>0.56610000000000005</v>
      </c>
      <c r="K14" s="50" t="str">
        <f>'Order Form'!L14</f>
        <v>Default</v>
      </c>
      <c r="L14" s="50" t="str">
        <f>'Order Form'!O14</f>
        <v>Not Required</v>
      </c>
      <c r="M14" s="50" t="str">
        <f>'Order Form'!K14</f>
        <v>LC</v>
      </c>
      <c r="N14" s="50" t="str">
        <f>'Order Form'!M14</f>
        <v>Default</v>
      </c>
      <c r="O14" s="121" t="str">
        <f>'Order Form'!N14</f>
        <v>Not Required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4.5053749999999999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None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 t="str">
        <f>'Order Form'!C24</f>
        <v>Default</v>
      </c>
      <c r="D24" s="13" t="str">
        <f>'Order Form'!D24</f>
        <v>None</v>
      </c>
      <c r="E24" s="13" t="str">
        <f>'Order Form'!E24</f>
        <v>Right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Pear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Default</v>
      </c>
      <c r="D25" s="14" t="str">
        <f>'Order Form'!D25</f>
        <v>None</v>
      </c>
      <c r="E25" s="14" t="str">
        <f>'Order Form'!E25</f>
        <v>Right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Pear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Default</v>
      </c>
      <c r="D26" s="13" t="str">
        <f>'Order Form'!D26</f>
        <v>None</v>
      </c>
      <c r="E26" s="13" t="str">
        <f>'Order Form'!E26</f>
        <v>Left</v>
      </c>
      <c r="F26" s="13" t="str">
        <f>'Order Form'!F26</f>
        <v>Left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Pear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 t="str">
        <f>'Order Form'!C27</f>
        <v>Default</v>
      </c>
      <c r="D27" s="12" t="str">
        <f>'Order Form'!D27</f>
        <v>None</v>
      </c>
      <c r="E27" s="12" t="str">
        <f>'Order Form'!E27</f>
        <v>Right</v>
      </c>
      <c r="F27" s="12" t="str">
        <f>'Order Form'!F27</f>
        <v>Right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Pear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 t="str">
        <f>'Order Form'!C28</f>
        <v>Default</v>
      </c>
      <c r="D28" s="50" t="str">
        <f>'Order Form'!D28</f>
        <v>None</v>
      </c>
      <c r="E28" s="50" t="str">
        <f>'Order Form'!E28</f>
        <v>Right</v>
      </c>
      <c r="F28" s="50" t="str">
        <f>'Order Form'!F28</f>
        <v>Right</v>
      </c>
      <c r="G28" s="164" t="str">
        <f>'Order Form'!G28</f>
        <v>63.5mm Ramp</v>
      </c>
      <c r="H28" s="164" t="str">
        <f>'Order Form'!H28</f>
        <v>Standard</v>
      </c>
      <c r="I28" s="70" t="str">
        <f>'Order Form'!I28</f>
        <v>Pear</v>
      </c>
      <c r="J28" s="50" t="str">
        <f>'Order Form'!J28</f>
        <v>No</v>
      </c>
      <c r="K28" s="121">
        <f>'Order Form'!K28</f>
        <v>1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8" t="s">
        <v>64</v>
      </c>
      <c r="C35" s="269"/>
      <c r="D35" s="269"/>
      <c r="E35" s="269"/>
      <c r="F35" s="269"/>
      <c r="G35" s="269"/>
      <c r="H35" s="269"/>
      <c r="I35" s="269" t="str">
        <f>IF(DeliverAddress="Alternative","Alternative Address","")</f>
        <v/>
      </c>
      <c r="J35" s="270"/>
      <c r="K35" t="str">
        <f>IF(K36&lt;&gt;" ","Extras","")</f>
        <v/>
      </c>
    </row>
    <row r="36" spans="2:12" x14ac:dyDescent="0.2">
      <c r="B36" s="257"/>
      <c r="C36" s="258"/>
      <c r="D36" s="258"/>
      <c r="E36" s="258"/>
      <c r="F36" s="258"/>
      <c r="G36" s="258"/>
      <c r="H36" s="258"/>
      <c r="I36" s="263"/>
      <c r="J36" s="264"/>
      <c r="K36" s="267" t="str">
        <f>'Price Calculations'!Z59</f>
        <v xml:space="preserve"> </v>
      </c>
      <c r="L36" s="63"/>
    </row>
    <row r="37" spans="2:12" x14ac:dyDescent="0.2">
      <c r="B37" s="259"/>
      <c r="C37" s="260"/>
      <c r="D37" s="260"/>
      <c r="E37" s="260"/>
      <c r="F37" s="260"/>
      <c r="G37" s="260"/>
      <c r="H37" s="260"/>
      <c r="I37" s="260"/>
      <c r="J37" s="265"/>
      <c r="K37" s="267"/>
      <c r="L37" s="63"/>
    </row>
    <row r="38" spans="2:12" x14ac:dyDescent="0.2">
      <c r="B38" s="259"/>
      <c r="C38" s="260"/>
      <c r="D38" s="260"/>
      <c r="E38" s="260"/>
      <c r="F38" s="260"/>
      <c r="G38" s="260"/>
      <c r="H38" s="260"/>
      <c r="I38" s="260"/>
      <c r="J38" s="265"/>
      <c r="K38" s="267"/>
    </row>
    <row r="39" spans="2:12" x14ac:dyDescent="0.2">
      <c r="B39" s="259"/>
      <c r="C39" s="260"/>
      <c r="D39" s="260"/>
      <c r="E39" s="260"/>
      <c r="F39" s="260"/>
      <c r="G39" s="260"/>
      <c r="H39" s="260"/>
      <c r="I39" s="260"/>
      <c r="J39" s="265"/>
      <c r="K39" s="267"/>
    </row>
    <row r="40" spans="2:12" ht="13.5" thickBot="1" x14ac:dyDescent="0.25">
      <c r="B40" s="261"/>
      <c r="C40" s="262"/>
      <c r="D40" s="262"/>
      <c r="E40" s="262"/>
      <c r="F40" s="262"/>
      <c r="G40" s="262"/>
      <c r="H40" s="262"/>
      <c r="I40" s="262"/>
      <c r="J40" s="266"/>
      <c r="K40" s="267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1" t="str">
        <f>Dealer_Name</f>
        <v>CP Interiors</v>
      </c>
      <c r="C3" s="272"/>
      <c r="D3" s="272"/>
      <c r="E3" s="272"/>
      <c r="F3" s="272"/>
      <c r="G3" s="272"/>
      <c r="H3" s="273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6"/>
      <c r="H5" s="277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6" t="str">
        <f>SC_ACno</f>
        <v>CPSUN</v>
      </c>
      <c r="H7" s="277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6"/>
      <c r="H9" s="277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6">
        <f>SC_Order_No</f>
        <v>0</v>
      </c>
      <c r="H11" s="277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6" t="str">
        <f>Customer_Name</f>
        <v>SO8817 / Le Brun</v>
      </c>
      <c r="H13" s="277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6">
        <f>Dealer_Order_No</f>
        <v>0</v>
      </c>
      <c r="H15" s="277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7" t="s">
        <v>166</v>
      </c>
      <c r="C19" s="287"/>
      <c r="D19" s="287"/>
      <c r="E19" s="287"/>
      <c r="F19" s="287" t="s">
        <v>167</v>
      </c>
      <c r="G19" s="287"/>
      <c r="H19" s="287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4"/>
      <c r="C20" s="285"/>
      <c r="D20" s="285"/>
      <c r="E20" s="285"/>
      <c r="F20" s="288"/>
      <c r="G20" s="286"/>
      <c r="H20" s="286"/>
      <c r="J20" s="292"/>
      <c r="K20" s="292"/>
      <c r="L20" s="292"/>
      <c r="M20" s="292"/>
      <c r="N20" s="292"/>
    </row>
    <row r="21" spans="1:17" ht="45" customHeight="1" x14ac:dyDescent="0.2">
      <c r="A21" s="99"/>
      <c r="B21" s="285"/>
      <c r="C21" s="285"/>
      <c r="D21" s="285"/>
      <c r="E21" s="285"/>
      <c r="F21" s="286"/>
      <c r="G21" s="286"/>
      <c r="H21" s="286"/>
      <c r="J21" s="292"/>
      <c r="K21" s="292"/>
      <c r="L21" s="292"/>
      <c r="M21" s="292"/>
      <c r="N21" s="292"/>
    </row>
    <row r="22" spans="1:17" ht="45" customHeight="1" x14ac:dyDescent="0.2">
      <c r="A22" s="99"/>
      <c r="B22" s="286"/>
      <c r="C22" s="286"/>
      <c r="D22" s="286"/>
      <c r="E22" s="286"/>
      <c r="F22" s="286"/>
      <c r="G22" s="286"/>
      <c r="H22" s="286"/>
      <c r="J22" s="292"/>
      <c r="K22" s="292"/>
      <c r="L22" s="292"/>
      <c r="M22" s="292"/>
      <c r="N22" s="292"/>
    </row>
    <row r="23" spans="1:17" ht="45" customHeight="1" x14ac:dyDescent="0.2">
      <c r="A23" s="99"/>
      <c r="B23" s="286"/>
      <c r="C23" s="286"/>
      <c r="D23" s="286"/>
      <c r="E23" s="286"/>
      <c r="F23" s="286"/>
      <c r="G23" s="286"/>
      <c r="H23" s="286"/>
      <c r="J23" s="292"/>
      <c r="K23" s="292"/>
      <c r="L23" s="292"/>
      <c r="M23" s="292"/>
      <c r="N23" s="292"/>
    </row>
    <row r="24" spans="1:17" ht="45" customHeight="1" x14ac:dyDescent="0.2">
      <c r="A24" s="99"/>
      <c r="B24" s="286"/>
      <c r="C24" s="286"/>
      <c r="D24" s="286"/>
      <c r="E24" s="286"/>
      <c r="F24" s="286"/>
      <c r="G24" s="286"/>
      <c r="H24" s="286"/>
      <c r="J24" s="292"/>
      <c r="K24" s="292"/>
      <c r="L24" s="292"/>
      <c r="M24" s="292"/>
      <c r="N24" s="292"/>
    </row>
    <row r="25" spans="1:17" ht="45" customHeight="1" x14ac:dyDescent="0.2">
      <c r="A25" s="99"/>
      <c r="B25" s="286"/>
      <c r="C25" s="286"/>
      <c r="D25" s="286"/>
      <c r="E25" s="286"/>
      <c r="F25" s="286"/>
      <c r="G25" s="286"/>
      <c r="H25" s="286"/>
      <c r="J25" s="292"/>
      <c r="K25" s="292"/>
      <c r="L25" s="292"/>
      <c r="M25" s="292"/>
      <c r="N25" s="292"/>
    </row>
    <row r="26" spans="1:17" ht="45" customHeight="1" x14ac:dyDescent="0.2">
      <c r="A26" s="99"/>
      <c r="B26" s="286"/>
      <c r="C26" s="286"/>
      <c r="D26" s="286"/>
      <c r="E26" s="286"/>
      <c r="F26" s="286"/>
      <c r="G26" s="286"/>
      <c r="H26" s="286"/>
      <c r="J26" s="292"/>
      <c r="K26" s="292"/>
      <c r="L26" s="292"/>
      <c r="M26" s="292"/>
      <c r="N26" s="292"/>
    </row>
    <row r="27" spans="1:17" ht="45" customHeight="1" x14ac:dyDescent="0.2">
      <c r="A27" s="99"/>
      <c r="B27" s="286"/>
      <c r="C27" s="286"/>
      <c r="D27" s="286"/>
      <c r="E27" s="286"/>
      <c r="F27" s="286"/>
      <c r="G27" s="286"/>
      <c r="H27" s="286"/>
      <c r="J27" s="292"/>
      <c r="K27" s="292"/>
      <c r="L27" s="292"/>
      <c r="M27" s="292"/>
      <c r="N27" s="292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3" t="s">
        <v>169</v>
      </c>
      <c r="J28" s="294"/>
      <c r="K28" s="295"/>
      <c r="L28" s="295"/>
      <c r="M28" s="295"/>
      <c r="N28" s="295"/>
      <c r="O28" s="295"/>
      <c r="P28" s="295"/>
      <c r="Q28" s="295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3"/>
      <c r="J29" s="294"/>
      <c r="K29" s="295"/>
      <c r="L29" s="295"/>
      <c r="M29" s="295"/>
      <c r="N29" s="295"/>
      <c r="O29" s="295"/>
      <c r="P29" s="295"/>
      <c r="Q29" s="295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4"/>
      <c r="K30" s="295"/>
      <c r="L30" s="295"/>
      <c r="M30" s="295"/>
      <c r="N30" s="295"/>
      <c r="O30" s="295"/>
      <c r="P30" s="295"/>
      <c r="Q30" s="295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4"/>
      <c r="K31" s="295"/>
      <c r="L31" s="295"/>
      <c r="M31" s="295"/>
      <c r="N31" s="295"/>
      <c r="O31" s="295"/>
      <c r="P31" s="295"/>
      <c r="Q31" s="295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4"/>
      <c r="K32" s="295"/>
      <c r="L32" s="295"/>
      <c r="M32" s="295"/>
      <c r="N32" s="295"/>
      <c r="O32" s="295"/>
      <c r="P32" s="295"/>
      <c r="Q32" s="295"/>
    </row>
    <row r="33" spans="1:8" ht="13.5" thickBot="1" x14ac:dyDescent="0.25">
      <c r="F33" s="103"/>
    </row>
    <row r="34" spans="1:8" ht="18" customHeight="1" thickBot="1" x14ac:dyDescent="0.25">
      <c r="A34" s="278" t="s">
        <v>174</v>
      </c>
      <c r="B34" s="279"/>
      <c r="C34" s="280"/>
      <c r="F34" s="104" t="s">
        <v>175</v>
      </c>
      <c r="G34" s="274"/>
      <c r="H34" s="275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1"/>
      <c r="B36" s="282"/>
      <c r="C36" s="283"/>
      <c r="F36" s="104" t="s">
        <v>176</v>
      </c>
      <c r="G36" s="274"/>
      <c r="H36" s="275"/>
    </row>
    <row r="37" spans="1:8" ht="13.5" thickBot="1" x14ac:dyDescent="0.25">
      <c r="A37" s="281" t="s">
        <v>177</v>
      </c>
      <c r="B37" s="282"/>
      <c r="C37" s="283"/>
      <c r="F37" s="104"/>
    </row>
    <row r="38" spans="1:8" ht="18" customHeight="1" thickBot="1" x14ac:dyDescent="0.25">
      <c r="A38" s="281" t="str">
        <f>IF(A36="Covered","Subject to factory approval.","")</f>
        <v/>
      </c>
      <c r="B38" s="282"/>
      <c r="C38" s="283"/>
      <c r="F38" s="104" t="s">
        <v>178</v>
      </c>
      <c r="G38" s="274"/>
      <c r="H38" s="275"/>
    </row>
    <row r="39" spans="1:8" ht="13.5" thickBot="1" x14ac:dyDescent="0.25">
      <c r="A39" s="289" t="str">
        <f>IF(A36="Covered","Scraft will contact you if approval is not given","")</f>
        <v/>
      </c>
      <c r="B39" s="290"/>
      <c r="C39" s="291"/>
      <c r="F39" s="104"/>
    </row>
    <row r="40" spans="1:8" ht="18" customHeight="1" thickBot="1" x14ac:dyDescent="0.25">
      <c r="F40" s="104" t="s">
        <v>9</v>
      </c>
      <c r="G40" s="274"/>
      <c r="H40" s="275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4"/>
      <c r="H42" s="275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Kitchen cott 3</v>
      </c>
      <c r="C8">
        <f>'Order Form'!D9</f>
        <v>1</v>
      </c>
      <c r="D8" t="str">
        <f>'Order Form'!F9</f>
        <v>001 Pure White</v>
      </c>
      <c r="E8" t="str">
        <f>'Order Form'!G9</f>
        <v>OM</v>
      </c>
      <c r="F8">
        <f>'Order Form'!H9</f>
        <v>870</v>
      </c>
      <c r="G8">
        <f>'Order Form'!I9</f>
        <v>1360</v>
      </c>
      <c r="H8">
        <f>((F8*G8)/(1000*1000))*C8</f>
        <v>1.1832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None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 xml:space="preserve">Bedroom 2 </v>
      </c>
      <c r="C9">
        <f>'Order Form'!D10</f>
        <v>1</v>
      </c>
      <c r="D9" t="str">
        <f>'Order Form'!F10</f>
        <v>001 Pure White</v>
      </c>
      <c r="E9" t="str">
        <f>'Order Form'!G10</f>
        <v>OM</v>
      </c>
      <c r="F9">
        <f>'Order Form'!H10</f>
        <v>515</v>
      </c>
      <c r="G9">
        <f>'Order Form'!I10</f>
        <v>1100</v>
      </c>
      <c r="H9">
        <f>((F9*G9)/(1000*1000))*C9</f>
        <v>0.5665</v>
      </c>
      <c r="I9" t="str">
        <f>'Order Form'!L10</f>
        <v>Default</v>
      </c>
      <c r="J9" t="str">
        <f>'Order Form'!E10</f>
        <v>50.8mm</v>
      </c>
      <c r="K9" t="str">
        <f>'Order Form'!O10</f>
        <v>Not Required</v>
      </c>
      <c r="L9" t="str">
        <f>'Order Form'!K10</f>
        <v>LC</v>
      </c>
      <c r="M9" t="str">
        <f>'Order Form'!M10</f>
        <v>Default</v>
      </c>
      <c r="N9" t="str">
        <f>'Order Form'!N10</f>
        <v>Not Required</v>
      </c>
      <c r="O9" t="str">
        <f>'Order Form'!E24</f>
        <v>Right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Pear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Study</v>
      </c>
      <c r="C10">
        <f>'Order Form'!D11</f>
        <v>1</v>
      </c>
      <c r="D10" t="str">
        <f>'Order Form'!F11</f>
        <v>001 Pure White</v>
      </c>
      <c r="E10" t="str">
        <f>'Order Form'!G11</f>
        <v>OM</v>
      </c>
      <c r="F10">
        <f>'Order Form'!H11</f>
        <v>530</v>
      </c>
      <c r="G10">
        <f>'Order Form'!I11</f>
        <v>1090</v>
      </c>
      <c r="H10">
        <f>((F10*G10)/(1000*1000))*C10</f>
        <v>0.57769999999999999</v>
      </c>
      <c r="I10" t="str">
        <f>'Order Form'!L11</f>
        <v>Default</v>
      </c>
      <c r="J10" t="str">
        <f>'Order Form'!E11</f>
        <v>50.8mm</v>
      </c>
      <c r="K10" t="str">
        <f>'Order Form'!O11</f>
        <v>Not Required</v>
      </c>
      <c r="L10" t="str">
        <f>'Order Form'!K11</f>
        <v>LC</v>
      </c>
      <c r="M10" t="str">
        <f>'Order Form'!M11</f>
        <v>Default</v>
      </c>
      <c r="N10" t="str">
        <f>'Order Form'!N11</f>
        <v>Not Required</v>
      </c>
      <c r="O10" t="str">
        <f>'Order Form'!E25</f>
        <v>Right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Pear</v>
      </c>
      <c r="T10" t="str">
        <f>'Order Form'!D25</f>
        <v>None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Kitchen cot3A</v>
      </c>
      <c r="C11">
        <f>'Order Form'!D12</f>
        <v>1</v>
      </c>
      <c r="D11" t="str">
        <f>'Order Form'!F12</f>
        <v>001 Pure White</v>
      </c>
      <c r="E11" t="str">
        <f>'Order Form'!G12</f>
        <v>IM</v>
      </c>
      <c r="F11">
        <f>'Order Form'!H12</f>
        <v>805</v>
      </c>
      <c r="G11">
        <f>'Order Form'!I12</f>
        <v>1305</v>
      </c>
      <c r="H11">
        <f>((F11*G11)/(1000*1000))*C11</f>
        <v>1.0505249999999999</v>
      </c>
      <c r="I11" t="str">
        <f>'Order Form'!L12</f>
        <v>Default</v>
      </c>
      <c r="J11" t="str">
        <f>'Order Form'!E12</f>
        <v>50.8mm</v>
      </c>
      <c r="K11" t="str">
        <f>'Order Form'!O12</f>
        <v>Not Required</v>
      </c>
      <c r="L11" t="str">
        <f>'Order Form'!K12</f>
        <v>LC</v>
      </c>
      <c r="M11" t="str">
        <f>'Order Form'!M12</f>
        <v>Default</v>
      </c>
      <c r="N11" t="str">
        <f>'Order Form'!N12</f>
        <v>Not Required</v>
      </c>
      <c r="O11" t="str">
        <f>'Order Form'!E26</f>
        <v>Left</v>
      </c>
      <c r="P11" t="str">
        <f>'Order Form'!F26</f>
        <v>Left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Pear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 t="str">
        <f>'Order Form'!C13</f>
        <v>bedroom 2 cot3A</v>
      </c>
      <c r="C12">
        <f>'Order Form'!D13</f>
        <v>1</v>
      </c>
      <c r="D12" t="str">
        <f>'Order Form'!F13</f>
        <v>001 Pure White</v>
      </c>
      <c r="E12" t="str">
        <f>'Order Form'!G13</f>
        <v>OM</v>
      </c>
      <c r="F12">
        <f>'Order Form'!H13</f>
        <v>515</v>
      </c>
      <c r="G12">
        <f>'Order Form'!I13</f>
        <v>1090</v>
      </c>
      <c r="H12">
        <f t="shared" ref="H12:H18" si="0">((F12*G12)/(1000*1000))*C12</f>
        <v>0.56135000000000002</v>
      </c>
      <c r="I12" t="str">
        <f>'Order Form'!L13</f>
        <v>Default</v>
      </c>
      <c r="J12" t="str">
        <f>'Order Form'!E13</f>
        <v>50.8mm</v>
      </c>
      <c r="K12" t="str">
        <f>'Order Form'!O13</f>
        <v>Not Required</v>
      </c>
      <c r="L12" t="str">
        <f>'Order Form'!K13</f>
        <v>LC</v>
      </c>
      <c r="M12" t="str">
        <f>'Order Form'!M13</f>
        <v>Default</v>
      </c>
      <c r="N12" t="str">
        <f>'Order Form'!N13</f>
        <v>Not Required</v>
      </c>
      <c r="O12" t="str">
        <f>'Order Form'!E27</f>
        <v>Right</v>
      </c>
      <c r="P12" t="str">
        <f>'Order Form'!F27</f>
        <v>Right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Pear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 t="str">
        <f>'Order Form'!C14</f>
        <v>study cottage 3A</v>
      </c>
      <c r="C13">
        <f>'Order Form'!D14</f>
        <v>1</v>
      </c>
      <c r="D13" t="str">
        <f>'Order Form'!F14</f>
        <v>001 Pure White</v>
      </c>
      <c r="E13" t="str">
        <f>'Order Form'!G14</f>
        <v>OM</v>
      </c>
      <c r="F13">
        <f>'Order Form'!H14</f>
        <v>510</v>
      </c>
      <c r="G13">
        <f>'Order Form'!I14</f>
        <v>1110</v>
      </c>
      <c r="H13">
        <f t="shared" si="0"/>
        <v>0.56610000000000005</v>
      </c>
      <c r="I13" t="str">
        <f>'Order Form'!L14</f>
        <v>Default</v>
      </c>
      <c r="J13" t="str">
        <f>'Order Form'!E14</f>
        <v>50.8mm</v>
      </c>
      <c r="K13" t="str">
        <f>'Order Form'!O14</f>
        <v>Not Required</v>
      </c>
      <c r="L13" t="str">
        <f>'Order Form'!K14</f>
        <v>LC</v>
      </c>
      <c r="M13" t="str">
        <f>'Order Form'!M14</f>
        <v>Default</v>
      </c>
      <c r="N13" t="str">
        <f>'Order Form'!N14</f>
        <v>Not Required</v>
      </c>
      <c r="O13" t="str">
        <f>'Order Form'!E28</f>
        <v>Right</v>
      </c>
      <c r="P13" t="str">
        <f>'Order Form'!F28</f>
        <v>Right</v>
      </c>
      <c r="Q13" s="72" t="str">
        <f>'Order Form'!G28</f>
        <v>63.5mm Ramp</v>
      </c>
      <c r="R13" s="72" t="str">
        <f>'Order Form'!H28</f>
        <v>Standard</v>
      </c>
      <c r="S13" s="72" t="str">
        <f>'Order Form'!I28</f>
        <v>Pear</v>
      </c>
      <c r="T13" t="str">
        <f>'Order Form'!D28</f>
        <v>None</v>
      </c>
      <c r="U13" t="str">
        <f>'Order Form'!J28</f>
        <v>No</v>
      </c>
      <c r="V13">
        <f>'Order Form'!K28</f>
        <v>1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4.5053749999999999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3</v>
      </c>
      <c r="G23">
        <f t="shared" ref="G23:G33" si="3">VLOOKUP(G8,DropRow,2,TRUE)</f>
        <v>6</v>
      </c>
      <c r="H23">
        <f>IF(C8=0,0,H8/C8)</f>
        <v>1.1832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1</v>
      </c>
      <c r="G24">
        <f t="shared" si="3"/>
        <v>5</v>
      </c>
      <c r="H24">
        <f t="shared" ref="H24:H33" si="10">IF(C9=0,0,H9/C9)</f>
        <v>0.5665</v>
      </c>
      <c r="J24">
        <f t="shared" ca="1" si="4"/>
        <v>50</v>
      </c>
      <c r="K24" t="e">
        <f t="shared" ca="1" si="5"/>
        <v>#N/A</v>
      </c>
      <c r="L24" s="74">
        <f t="shared" ca="1" si="6"/>
        <v>0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1</v>
      </c>
      <c r="G25">
        <f t="shared" si="3"/>
        <v>5</v>
      </c>
      <c r="H25">
        <f t="shared" si="10"/>
        <v>0.57769999999999999</v>
      </c>
      <c r="J25">
        <f t="shared" ca="1" si="4"/>
        <v>50</v>
      </c>
      <c r="K25" t="e">
        <f t="shared" ca="1" si="5"/>
        <v>#N/A</v>
      </c>
      <c r="L25" s="74">
        <f t="shared" ca="1" si="6"/>
        <v>0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3</v>
      </c>
      <c r="G26">
        <f t="shared" si="3"/>
        <v>6</v>
      </c>
      <c r="H26">
        <f t="shared" si="10"/>
        <v>1.0505249999999999</v>
      </c>
      <c r="J26">
        <f t="shared" ca="1" si="4"/>
        <v>50</v>
      </c>
      <c r="K26" t="e">
        <f t="shared" ca="1" si="5"/>
        <v>#N/A</v>
      </c>
      <c r="L26" s="74">
        <f t="shared" ca="1" si="6"/>
        <v>0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1</v>
      </c>
      <c r="G27">
        <f t="shared" si="3"/>
        <v>5</v>
      </c>
      <c r="H27">
        <f t="shared" si="10"/>
        <v>0.56135000000000002</v>
      </c>
      <c r="J27">
        <f t="shared" ca="1" si="4"/>
        <v>50</v>
      </c>
      <c r="K27" t="e">
        <f t="shared" ca="1" si="5"/>
        <v>#N/A</v>
      </c>
      <c r="L27" s="74">
        <f t="shared" ca="1" si="6"/>
        <v>0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1</v>
      </c>
      <c r="D28">
        <f t="shared" ca="1" si="1"/>
        <v>0</v>
      </c>
      <c r="F28">
        <f t="shared" si="2"/>
        <v>1</v>
      </c>
      <c r="G28">
        <f t="shared" si="3"/>
        <v>5</v>
      </c>
      <c r="H28">
        <f t="shared" si="10"/>
        <v>0.56610000000000005</v>
      </c>
      <c r="J28">
        <f t="shared" ca="1" si="4"/>
        <v>50</v>
      </c>
      <c r="K28" t="e">
        <f t="shared" ca="1" si="5"/>
        <v>#N/A</v>
      </c>
      <c r="L28" s="74">
        <f t="shared" ca="1" si="6"/>
        <v>0</v>
      </c>
      <c r="Q28" s="74">
        <f>VLOOKUP('Price Calculations'!Q13,b_ValanceDesignPrices,2,FALSE)</f>
        <v>0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101.56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101.56</v>
      </c>
      <c r="X38" s="63">
        <f ca="1">D38</f>
        <v>0</v>
      </c>
      <c r="Y38">
        <f ca="1">SUM(E38:V38)</f>
        <v>101.56</v>
      </c>
      <c r="Z38">
        <f ca="1">IF(W38="POA","POA",X38+(Y38*(1-$B$1)))</f>
        <v>71.091999999999999</v>
      </c>
      <c r="AA38">
        <f ca="1">IF(W38="POA","POA",ROUND(Z38*C8,2))</f>
        <v>71.09</v>
      </c>
      <c r="AB38">
        <f ca="1">W38*C8</f>
        <v>101.56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66.91</v>
      </c>
      <c r="L39">
        <f t="shared" ref="L39:L48" ca="1" si="18">L24*H39</f>
        <v>0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66.91</v>
      </c>
      <c r="X39" s="63">
        <f t="shared" ref="X39:X48" ca="1" si="21">D39</f>
        <v>0</v>
      </c>
      <c r="Y39">
        <f t="shared" ref="Y39:Y48" ca="1" si="22">SUM(E39:V39)</f>
        <v>66.91</v>
      </c>
      <c r="Z39">
        <f t="shared" ref="Z39:Z48" ca="1" si="23">IF(W39="POA","POA",X39+(Y39*(1-$B$1)))</f>
        <v>46.836999999999996</v>
      </c>
      <c r="AA39">
        <f t="shared" ref="AA39:AA48" ca="1" si="24">IF(W39="POA","POA",Z39*C9)</f>
        <v>46.836999999999996</v>
      </c>
      <c r="AB39">
        <f t="shared" ref="AB39:AB48" ca="1" si="25">W39*C9</f>
        <v>66.91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66.91</v>
      </c>
      <c r="L40">
        <f t="shared" ca="1" si="18"/>
        <v>0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66.91</v>
      </c>
      <c r="X40" s="63">
        <f t="shared" ca="1" si="21"/>
        <v>0</v>
      </c>
      <c r="Y40">
        <f t="shared" ca="1" si="22"/>
        <v>66.91</v>
      </c>
      <c r="Z40">
        <f t="shared" ca="1" si="23"/>
        <v>46.836999999999996</v>
      </c>
      <c r="AA40">
        <f t="shared" ca="1" si="24"/>
        <v>46.836999999999996</v>
      </c>
      <c r="AB40">
        <f t="shared" ca="1" si="25"/>
        <v>66.91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101.56</v>
      </c>
      <c r="L41">
        <f t="shared" ca="1" si="18"/>
        <v>0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101.56</v>
      </c>
      <c r="X41" s="63">
        <f t="shared" ca="1" si="21"/>
        <v>0</v>
      </c>
      <c r="Y41">
        <f t="shared" ca="1" si="22"/>
        <v>101.56</v>
      </c>
      <c r="Z41">
        <f t="shared" ca="1" si="23"/>
        <v>71.091999999999999</v>
      </c>
      <c r="AA41">
        <f t="shared" ca="1" si="24"/>
        <v>71.091999999999999</v>
      </c>
      <c r="AB41">
        <f t="shared" ca="1" si="25"/>
        <v>101.56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66.91</v>
      </c>
      <c r="L42">
        <f t="shared" ca="1" si="18"/>
        <v>0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66.91</v>
      </c>
      <c r="X42" s="63">
        <f t="shared" ca="1" si="21"/>
        <v>0</v>
      </c>
      <c r="Y42">
        <f t="shared" ca="1" si="22"/>
        <v>66.91</v>
      </c>
      <c r="Z42">
        <f t="shared" ca="1" si="23"/>
        <v>46.836999999999996</v>
      </c>
      <c r="AA42">
        <f t="shared" ca="1" si="24"/>
        <v>46.836999999999996</v>
      </c>
      <c r="AB42">
        <f t="shared" ca="1" si="25"/>
        <v>66.91</v>
      </c>
    </row>
    <row r="43" spans="1:29" x14ac:dyDescent="0.2">
      <c r="A43" t="str">
        <f t="shared" si="26"/>
        <v>CB006</v>
      </c>
      <c r="C43">
        <f t="shared" si="16"/>
        <v>1</v>
      </c>
      <c r="D43">
        <f t="shared" ca="1" si="17"/>
        <v>0</v>
      </c>
      <c r="H43">
        <f t="shared" ca="1" si="13"/>
        <v>66.91</v>
      </c>
      <c r="L43">
        <f t="shared" ca="1" si="18"/>
        <v>0</v>
      </c>
      <c r="Q43">
        <f t="shared" ca="1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66.91</v>
      </c>
      <c r="X43" s="63">
        <f t="shared" ca="1" si="21"/>
        <v>0</v>
      </c>
      <c r="Y43">
        <f t="shared" ca="1" si="22"/>
        <v>66.91</v>
      </c>
      <c r="Z43">
        <f t="shared" ca="1" si="23"/>
        <v>46.836999999999996</v>
      </c>
      <c r="AA43">
        <f t="shared" ca="1" si="24"/>
        <v>46.836999999999996</v>
      </c>
      <c r="AB43">
        <f t="shared" ca="1" si="25"/>
        <v>66.91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329.53</v>
      </c>
      <c r="AB51">
        <f ca="1">SUM(AB38:AB48)</f>
        <v>470.76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4.5053749999999999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6" t="s">
        <v>124</v>
      </c>
      <c r="AA59" s="297"/>
      <c r="AB59" s="297"/>
      <c r="AC59" s="297"/>
      <c r="AD59" s="298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329.53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3" t="s">
        <v>201</v>
      </c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4"/>
      <c r="R8" s="305"/>
      <c r="S8" s="305"/>
      <c r="T8" s="305"/>
      <c r="U8" s="305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1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1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1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1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1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1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1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1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1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1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1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1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1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1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1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1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1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6" t="s">
        <v>269</v>
      </c>
      <c r="H32" s="302"/>
      <c r="I32" s="159"/>
    </row>
    <row r="33" spans="1:21" s="63" customFormat="1" x14ac:dyDescent="0.2">
      <c r="D33" s="303" t="s">
        <v>201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9"/>
      <c r="R34" s="300"/>
      <c r="S34" s="300"/>
      <c r="T34" s="300"/>
      <c r="U34" s="300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1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2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2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2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2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2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2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2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2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2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2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2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2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2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2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2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2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EBEA3DD4E0A49B72A6E8DABF15F71" ma:contentTypeVersion="7" ma:contentTypeDescription="Create a new document." ma:contentTypeScope="" ma:versionID="02fd5d6cc1847d9ca1150f0b39d01786">
  <xsd:schema xmlns:xsd="http://www.w3.org/2001/XMLSchema" xmlns:xs="http://www.w3.org/2001/XMLSchema" xmlns:p="http://schemas.microsoft.com/office/2006/metadata/properties" xmlns:ns3="2b7ad3a5-744b-44f4-8622-aaf860a325da" targetNamespace="http://schemas.microsoft.com/office/2006/metadata/properties" ma:root="true" ma:fieldsID="f9fb8714c72131bd089065b33aa8a7e9" ns3:_="">
    <xsd:import namespace="2b7ad3a5-744b-44f4-8622-aaf860a325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ad3a5-744b-44f4-8622-aaf860a325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9F9814-785D-4B53-BC9D-D01C23D61BC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b7ad3a5-744b-44f4-8622-aaf860a325d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38179-02F3-402F-8D86-37D361259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ad3a5-744b-44f4-8622-aaf860a32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2019-08-19T14:56:49Z</cp:lastPrinted>
  <dcterms:created xsi:type="dcterms:W3CDTF">2007-01-10T21:20:53Z</dcterms:created>
  <dcterms:modified xsi:type="dcterms:W3CDTF">2019-08-19T15:19:27Z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0x0101008B1EBEA3DD4E0A49B72A6E8DABF15F71</vt:lpwstr>
  </property>
</Properties>
</file>