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M/McDonald, Cartref/"/>
    </mc:Choice>
  </mc:AlternateContent>
  <xr:revisionPtr revIDLastSave="2" documentId="8_{F6D9C369-8B30-466B-A9FA-B797EB0E49A4}" xr6:coauthVersionLast="43" xr6:coauthVersionMax="43" xr10:uidLastSave="{8D013540-3D6F-4B66-A18A-B5B5A8BF6E0F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3180" yWindow="1650" windowWidth="21600" windowHeight="1278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F26" i="7" s="1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5" i="6"/>
  <c r="O26" i="6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J26" i="7" s="1"/>
  <c r="G11" i="7"/>
  <c r="G26" i="7" s="1"/>
  <c r="K11" i="7"/>
  <c r="K26" i="7" s="1"/>
  <c r="C11" i="7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J25" i="7" s="1"/>
  <c r="G10" i="7"/>
  <c r="K10" i="7"/>
  <c r="K25" i="7" s="1"/>
  <c r="C10" i="7"/>
  <c r="L10" i="7"/>
  <c r="L25" i="7" s="1"/>
  <c r="U10" i="7"/>
  <c r="U25" i="7" s="1"/>
  <c r="U40" i="7" s="1"/>
  <c r="V10" i="7"/>
  <c r="V25" i="7" s="1"/>
  <c r="V40" i="7" s="1"/>
  <c r="D10" i="7"/>
  <c r="D25" i="7" s="1"/>
  <c r="D40" i="7" s="1"/>
  <c r="J9" i="7"/>
  <c r="J24" i="7" s="1"/>
  <c r="G9" i="7"/>
  <c r="G24" i="7" s="1"/>
  <c r="K9" i="7"/>
  <c r="C9" i="7"/>
  <c r="L9" i="7"/>
  <c r="L24" i="7" s="1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39" i="7" s="1"/>
  <c r="Q10" i="7"/>
  <c r="Q25" i="7" s="1"/>
  <c r="Q40" i="7" s="1"/>
  <c r="Q11" i="7"/>
  <c r="Q26" i="7" s="1"/>
  <c r="Q41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V24" i="7"/>
  <c r="V39" i="7" s="1"/>
  <c r="U24" i="7"/>
  <c r="U39" i="7" s="1"/>
  <c r="D24" i="7"/>
  <c r="D39" i="7" s="1"/>
  <c r="K24" i="7"/>
  <c r="H26" i="7"/>
  <c r="C41" i="7"/>
  <c r="C26" i="7"/>
  <c r="H28" i="7"/>
  <c r="C43" i="7"/>
  <c r="C28" i="7"/>
  <c r="H30" i="7"/>
  <c r="C45" i="7"/>
  <c r="C30" i="7"/>
  <c r="H32" i="7"/>
  <c r="C47" i="7"/>
  <c r="C32" i="7"/>
  <c r="H25" i="7"/>
  <c r="C40" i="7"/>
  <c r="C25" i="7"/>
  <c r="H27" i="7"/>
  <c r="C42" i="7"/>
  <c r="C27" i="7"/>
  <c r="C44" i="7"/>
  <c r="C29" i="7"/>
  <c r="H31" i="7"/>
  <c r="C46" i="7"/>
  <c r="C31" i="7"/>
  <c r="H33" i="7"/>
  <c r="I35" i="13"/>
  <c r="H35" i="6"/>
  <c r="C23" i="7"/>
  <c r="Q27" i="7"/>
  <c r="Q42" i="7" s="1"/>
  <c r="Q31" i="7"/>
  <c r="Q46" i="7" s="1"/>
  <c r="Q33" i="7"/>
  <c r="Q48" i="7" s="1"/>
  <c r="H12" i="7"/>
  <c r="J13" i="6" s="1"/>
  <c r="J13" i="13" s="1"/>
  <c r="O24" i="6"/>
  <c r="K33" i="7"/>
  <c r="K29" i="7"/>
  <c r="V23" i="7"/>
  <c r="U23" i="7"/>
  <c r="K23" i="7"/>
  <c r="L23" i="7"/>
  <c r="D23" i="7"/>
  <c r="J23" i="7"/>
  <c r="H48" i="7"/>
  <c r="V38" i="7" l="1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24" i="7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X39" i="7"/>
  <c r="W39" i="7"/>
  <c r="AB39" i="7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W40" i="7"/>
  <c r="X40" i="7"/>
  <c r="X41" i="7"/>
  <c r="W41" i="7"/>
  <c r="X43" i="7"/>
  <c r="W43" i="7"/>
  <c r="X48" i="7"/>
  <c r="W48" i="7"/>
  <c r="H38" i="7"/>
  <c r="H45" i="7"/>
  <c r="H41" i="7"/>
  <c r="H46" i="7"/>
  <c r="H42" i="7"/>
  <c r="H44" i="7"/>
  <c r="H43" i="7"/>
  <c r="H39" i="7"/>
  <c r="H40" i="7"/>
  <c r="H47" i="7"/>
  <c r="Q38" i="7" l="1"/>
  <c r="L39" i="7"/>
  <c r="Y39" i="7" s="1"/>
  <c r="Z39" i="7" s="1"/>
  <c r="AA39" i="7" s="1"/>
  <c r="L38" i="7"/>
  <c r="L40" i="7"/>
  <c r="Y40" i="7" s="1"/>
  <c r="Z40" i="7" s="1"/>
  <c r="N25" i="6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3" i="7"/>
  <c r="AB48" i="7"/>
  <c r="Z48" i="7"/>
  <c r="N33" i="6" s="1"/>
  <c r="AB41" i="7"/>
  <c r="AB40" i="7"/>
  <c r="AB46" i="7"/>
  <c r="Y38" i="7" l="1"/>
  <c r="W38" i="7"/>
  <c r="AB38" i="7" s="1"/>
  <c r="AB51" i="7" s="1"/>
  <c r="X61" i="7" s="1"/>
  <c r="O37" i="6" s="1"/>
  <c r="A1" i="6"/>
  <c r="A1" i="13"/>
  <c r="X58" i="7"/>
  <c r="J9" i="13"/>
  <c r="J20" i="6"/>
  <c r="J20" i="13" s="1"/>
  <c r="N24" i="6"/>
  <c r="AA44" i="7"/>
  <c r="AA45" i="7"/>
  <c r="N32" i="6"/>
  <c r="AA42" i="7"/>
  <c r="AA46" i="7"/>
  <c r="AA40" i="7"/>
  <c r="AA41" i="7"/>
  <c r="AA48" i="7"/>
  <c r="AA43" i="7"/>
  <c r="Z38" i="7" l="1"/>
  <c r="N23" i="6" s="1"/>
  <c r="AA38" i="7" l="1"/>
  <c r="AA51" i="7" s="1"/>
  <c r="X55" i="7"/>
  <c r="O23" i="6" l="1"/>
  <c r="X60" i="7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<sst xmlns="http://schemas.openxmlformats.org/spreadsheetml/2006/main" count="619" uniqueCount="350">
  <si>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</si>
  <si>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</si>
  <si>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</si>
  <si>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</si>
  <si>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</si>
  <si>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</si>
  <si>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</si>
  <si>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</si>
  <si>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</si>
  <si>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</si>
  <si>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</si>
  <si>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</si>
  <si>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</si>
  <si>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</si>
  <si>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</si>
  <si>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</si>
  <si>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</si>
  <si>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</si>
  <si>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</si>
  <si>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</si>
  <si>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</si>
  <si>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</si>
  <si>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</si>
  <si>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</si>
  <si>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</si>
  <si>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</si>
  <si>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</si>
  <si>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</si>
  <si>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</si>
  <si>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</si>
  <si>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</si>
  <si>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</si>
  <si>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</si>
  <si>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</si>
  <si>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</si>
  <si>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</si>
  <si>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</si>
  <si>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</si>
  <si>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</si>
  <si>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</si>
  <si>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</si>
  <si>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</si>
  <si>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</si>
  <si>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</si>
  <si>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</si>
  <si>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</si>
  <si>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</si>
  <si>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</si>
  <si>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</si>
  <si>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</si>
  <si>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</si>
  <si>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</si>
  <si>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</si>
  <si>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</si>
  <si>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</si>
  <si>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</si>
  <si>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</si>
  <si>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</si>
  <si>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</si>
  <si>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</si>
  <si>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</si>
  <si>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</si>
  <si>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</si>
  <si>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</si>
  <si>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</si>
  <si>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</si>
  <si>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</si>
  <si>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</si>
  <si>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</si>
  <si>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</si>
  <si>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</si>
  <si>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</si>
  <si>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</si>
  <si>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</si>
  <si>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</si>
  <si>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</si>
  <si>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</si>
  <si>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</si>
  <si>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</si>
  <si>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</si>
  <si>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</si>
  <si>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</si>
  <si>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</si>
  <si>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</si>
  <si>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</si>
  <si>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</si>
  <si>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</si>
  <si>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</si>
  <si>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</si>
  <si>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</si>
  <si>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</si>
  <si>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</si>
  <si>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</si>
  <si>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</si>
  <si>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</si>
  <si>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</si>
  <si>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</si>
  <si>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</si>
  <si>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</si>
  <si>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</si>
  <si>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</si>
  <si>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</si>
  <si>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</si>
  <si>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</si>
  <si>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</si>
  <si>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</si>
  <si>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</si>
  <si>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</si>
  <si>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</si>
  <si>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</si>
  <si>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</si>
  <si>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</si>
  <si>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</si>
  <si>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</si>
  <si>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</si>
  <si>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</si>
  <si>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</si>
  <si>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</si>
  <si>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</si>
  <si>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</si>
  <si>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</si>
  <si>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</si>
  <si>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</si>
  <si>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</si>
  <si>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</si>
  <si>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</si>
  <si>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</si>
  <si>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</si>
  <si>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</si>
  <si>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</si>
  <si>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</si>
  <si>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</si>
  <si>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</si>
  <si>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</si>
  <si>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</si>
  <si>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</si>
  <si>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</si>
  <si>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</si>
  <si>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</si>
  <si>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</si>
  <si>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</si>
  <si>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</si>
  <si>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</si>
  <si>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</si>
  <si>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</si>
  <si>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</si>
  <si>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</si>
  <si>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</si>
  <si>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</si>
  <si>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</si>
  <si>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</si>
  <si>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</si>
  <si>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</si>
  <si>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</si>
  <si>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</si>
  <si>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</si>
  <si>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</si>
  <si>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</si>
  <si>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</si>
  <si>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</si>
  <si>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</si>
  <si>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</si>
  <si>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</si>
  <si>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</si>
  <si>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</si>
  <si>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</si>
  <si>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</si>
  <si>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</si>
  <si>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</si>
  <si>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</si>
  <si>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</si>
  <si>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</si>
  <si>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</si>
  <si>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</si>
  <si>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</si>
  <si>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</si>
  <si>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</si>
  <si>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</si>
  <si>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</si>
  <si>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</si>
  <si>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</si>
  <si>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</si>
  <si>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</si>
  <si>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</si>
  <si>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</si>
  <si>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</si>
  <si>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</si>
  <si>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</si>
  <si>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</si>
  <si>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</si>
  <si>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</si>
  <si>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</si>
  <si>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</si>
  <si>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</si>
  <si>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</si>
  <si>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</si>
  <si>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</si>
  <si>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</si>
  <si>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</si>
  <si>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</si>
  <si>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</si>
  <si>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</si>
  <si>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</si>
  <si>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</si>
  <si>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</si>
  <si>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</si>
  <si>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</si>
  <si>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</si>
  <si>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</si>
  <si>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</si>
  <si>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</si>
  <si>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</si>
  <si>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</si>
  <si>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</si>
  <si>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</si>
  <si>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</si>
  <si>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</si>
  <si>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</si>
  <si>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</si>
  <si>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</si>
  <si>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</si>
  <si>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</si>
  <si>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</si>
  <si>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</si>
  <si>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</si>
  <si>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</si>
  <si>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</si>
  <si>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</si>
  <si>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</si>
  <si>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</si>
  <si>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</si>
  <si>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</si>
  <si>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</si>
  <si>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</si>
  <si>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</si>
  <si>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</si>
  <si>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</si>
  <si>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</si>
  <si>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</si>
  <si>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</si>
  <si>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</si>
  <si>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</si>
  <si>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</si>
  <si>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</si>
  <si>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</si>
  <si>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</si>
  <si>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</si>
  <si>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</si>
  <si>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</si>
  <si>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</si>
  <si>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</si>
  <si>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</si>
  <si>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</si>
  <si>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</si>
  <si>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</si>
  <si>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</si>
  <si>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</si>
  <si>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</si>
  <si>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</si>
  <si>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</si>
  <si>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</si>
  <si>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</si>
  <si>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</si>
  <si>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</si>
  <si>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</si>
  <si>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</si>
  <si>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</si>
  <si>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</si>
  <si>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</si>
  <si>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</si>
  <si>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</si>
  <si>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</si>
  <si>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</si>
  <si>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</si>
  <si>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</si>
  <si>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</si>
  <si>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</si>
  <si>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</si>
  <si>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</si>
  <si>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</si>
  <si>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</si>
  <si>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</si>
  <si>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</si>
  <si>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</si>
  <si>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</si>
  <si>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</si>
  <si>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</si>
  <si>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</si>
  <si>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</si>
  <si>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</si>
  <si>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</si>
  <si>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</si>
  <si>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</si>
  <si>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</si>
  <si>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</si>
  <si>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</si>
  <si>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</si>
  <si>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</si>
  <si>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</si>
  <si>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</si>
  <si>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</si>
  <si>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</si>
  <si>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</si>
  <si>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</si>
  <si>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</si>
  <si>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</si>
  <si>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</si>
  <si>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</si>
  <si>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</si>
  <si>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</si>
  <si>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</si>
  <si>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</si>
  <si>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</si>
  <si>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</si>
  <si>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</si>
  <si>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</si>
  <si>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</si>
  <si>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</si>
  <si>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</si>
  <si>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</si>
  <si>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</si>
  <si>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</si>
  <si>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</si>
  <si>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</si>
  <si>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</si>
  <si>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</si>
  <si>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</si>
  <si>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</si>
  <si>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</si>
  <si>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</si>
  <si>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</si>
  <si>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</si>
  <si>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</si>
  <si>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</si>
  <si>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</si>
  <si>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</si>
  <si>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</si>
  <si>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</si>
  <si>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</si>
  <si>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</si>
  <si>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</si>
  <si>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</si>
  <si>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</si>
  <si>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</si>
  <si>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</si>
  <si>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</si>
  <si>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</si>
  <si>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Ensuite</t>
  </si>
  <si>
    <t>SO8779</t>
  </si>
  <si>
    <t>McDonald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</si>
</sst>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O8" sqref="O8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4.4189249999999998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 t="s">
        <v>348</v>
      </c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349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347</v>
      </c>
      <c r="D9" s="12">
        <v>1</v>
      </c>
      <c r="E9" s="12" t="s">
        <v>12</v>
      </c>
      <c r="F9" s="12" t="s">
        <v>73</v>
      </c>
      <c r="G9" s="12" t="s">
        <v>275</v>
      </c>
      <c r="H9" s="12">
        <v>1995</v>
      </c>
      <c r="I9" s="12">
        <v>2215</v>
      </c>
      <c r="J9" s="172">
        <f>'Price Calculations'!H8</f>
        <v>4.4189249999999998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/>
      <c r="D10" s="13"/>
      <c r="E10" s="13"/>
      <c r="F10" s="13"/>
      <c r="G10" s="13"/>
      <c r="H10" s="13"/>
      <c r="I10" s="13"/>
      <c r="J10" s="172">
        <f>'Price Calculations'!H9</f>
        <v>0</v>
      </c>
      <c r="K10" s="13"/>
      <c r="L10" s="13"/>
      <c r="M10" s="13"/>
      <c r="N10" s="13"/>
      <c r="O10" s="193"/>
    </row>
    <row r="11" spans="1:20" ht="15" customHeight="1" x14ac:dyDescent="0.2">
      <c r="B11" s="10" t="s">
        <v>4</v>
      </c>
      <c r="C11" s="118"/>
      <c r="D11" s="14"/>
      <c r="E11" s="14"/>
      <c r="F11" s="14"/>
      <c r="G11" s="14"/>
      <c r="H11" s="14"/>
      <c r="I11" s="14"/>
      <c r="J11" s="173">
        <f>'Price Calculations'!H10</f>
        <v>0</v>
      </c>
      <c r="K11" s="14"/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/>
      <c r="I12" s="13"/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4.4189249999999998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>
        <v>2500</v>
      </c>
      <c r="I23" s="69" t="s">
        <v>138</v>
      </c>
      <c r="J23" s="12" t="s">
        <v>35</v>
      </c>
      <c r="K23" s="141">
        <v>1</v>
      </c>
      <c r="L23" s="12">
        <v>2600</v>
      </c>
      <c r="M23" s="207" t="s">
        <v>310</v>
      </c>
      <c r="N23" s="8">
        <f ca="1">IF(ISNA('Price Calculations'!Z38),"",ROUND('Price Calculations'!Z38,2))</f>
        <v>306.16000000000003</v>
      </c>
      <c r="O23" s="213">
        <f ca="1">IF(C9="","",IF(ISNA('Price Calculations'!AA38),"Incomplete details",'Price Calculations'!AA38))</f>
        <v>306.16000000000003</v>
      </c>
    </row>
    <row r="24" spans="1:21" ht="15" customHeight="1" x14ac:dyDescent="0.2">
      <c r="B24" s="9" t="s">
        <v>3</v>
      </c>
      <c r="C24" s="13"/>
      <c r="D24" s="13"/>
      <c r="E24" s="13"/>
      <c r="F24" s="13"/>
      <c r="G24" s="137"/>
      <c r="H24" s="137"/>
      <c r="I24" s="70"/>
      <c r="J24" s="13"/>
      <c r="K24" s="142"/>
      <c r="L24" s="13"/>
      <c r="M24" s="208"/>
      <c r="N24" s="9">
        <f ca="1">IF(ISNA('Price Calculations'!Z39),"",ROUND('Price Calculations'!Z39,2))</f>
        <v>0</v>
      </c>
      <c r="O24" s="199" t="str">
        <f>IF(C10="","",IF(ISNA('Price Calculations'!AA39),"Incomplete details",'Price Calculations'!AA39))</f>
        <v/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/>
      <c r="H25" s="138"/>
      <c r="I25" s="71"/>
      <c r="J25" s="14"/>
      <c r="K25" s="143"/>
      <c r="L25" s="14"/>
      <c r="M25" s="209"/>
      <c r="N25" s="10">
        <f ca="1">IF(ISNA('Price Calculations'!Z40),"",ROUND('Price Calculations'!Z40,2))</f>
        <v>0</v>
      </c>
      <c r="O25" s="198" t="str">
        <f>IF(C11="","",IF(ISNA('Price Calculations'!AA40),"Incomplete details",'Price Calculations'!AA40))</f>
        <v/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0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306.16000000000003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306.16000000000003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4.4189249999999998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 t="str">
        <f>Dealer_Order_No</f>
        <v>SO8779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McDonald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Ensuite</v>
      </c>
      <c r="D9" s="12">
        <f>'Order Form'!D9</f>
        <v>1</v>
      </c>
      <c r="E9" s="12" t="str">
        <f>'Order Form'!E9</f>
        <v>63.5mm</v>
      </c>
      <c r="F9" s="12" t="str">
        <f>'Order Form'!F9</f>
        <v>220 New Ebony</v>
      </c>
      <c r="G9" s="12" t="str">
        <f>'Order Form'!G9</f>
        <v>IM</v>
      </c>
      <c r="H9" s="12">
        <f>'Order Form'!H9</f>
        <v>1995</v>
      </c>
      <c r="I9" s="12">
        <f>'Order Form'!I9</f>
        <v>2215</v>
      </c>
      <c r="J9" s="55">
        <f>'Order Form'!J9</f>
        <v>4.4189249999999998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>
        <f>'Order Form'!C10</f>
        <v>0</v>
      </c>
      <c r="D10" s="13">
        <f>'Order Form'!D10</f>
        <v>0</v>
      </c>
      <c r="E10" s="13">
        <f>'Order Form'!E10</f>
        <v>0</v>
      </c>
      <c r="F10" s="13">
        <f>'Order Form'!F10</f>
        <v>0</v>
      </c>
      <c r="G10" s="13">
        <f>'Order Form'!G10</f>
        <v>0</v>
      </c>
      <c r="H10" s="13">
        <f>'Order Form'!H10</f>
        <v>0</v>
      </c>
      <c r="I10" s="13">
        <f>'Order Form'!I10</f>
        <v>0</v>
      </c>
      <c r="J10" s="56">
        <f>'Order Form'!J10</f>
        <v>0</v>
      </c>
      <c r="K10" s="13">
        <f>'Order Form'!L10</f>
        <v>0</v>
      </c>
      <c r="L10" s="13">
        <f>'Order Form'!O10</f>
        <v>0</v>
      </c>
      <c r="M10" s="13">
        <f>'Order Form'!K10</f>
        <v>0</v>
      </c>
      <c r="N10" s="13">
        <f>'Order Form'!M10</f>
        <v>0</v>
      </c>
      <c r="O10" s="121">
        <f>'Order Form'!N10</f>
        <v>0</v>
      </c>
    </row>
    <row r="11" spans="1:20" ht="15" customHeight="1" x14ac:dyDescent="0.2">
      <c r="B11" s="10" t="s">
        <v>4</v>
      </c>
      <c r="C11" s="118">
        <f>'Order Form'!C11</f>
        <v>0</v>
      </c>
      <c r="D11" s="14">
        <f>'Order Form'!D11</f>
        <v>0</v>
      </c>
      <c r="E11" s="14">
        <f>'Order Form'!E11</f>
        <v>0</v>
      </c>
      <c r="F11" s="14">
        <f>'Order Form'!F11</f>
        <v>0</v>
      </c>
      <c r="G11" s="14">
        <f>'Order Form'!G11</f>
        <v>0</v>
      </c>
      <c r="H11" s="14">
        <f>'Order Form'!H11</f>
        <v>0</v>
      </c>
      <c r="I11" s="14">
        <f>'Order Form'!I11</f>
        <v>0</v>
      </c>
      <c r="J11" s="57">
        <f>'Order Form'!J11</f>
        <v>0</v>
      </c>
      <c r="K11" s="14">
        <f>'Order Form'!L11</f>
        <v>0</v>
      </c>
      <c r="L11" s="14">
        <f>'Order Form'!O11</f>
        <v>0</v>
      </c>
      <c r="M11" s="14">
        <f>'Order Form'!K11</f>
        <v>0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0</v>
      </c>
      <c r="I12" s="13">
        <f>'Order Form'!I12</f>
        <v>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4.4189249999999998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>
        <f>'Order Form'!H23</f>
        <v>2500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>
        <f>'Order Form'!C24</f>
        <v>0</v>
      </c>
      <c r="D24" s="13">
        <f>'Order Form'!D24</f>
        <v>0</v>
      </c>
      <c r="E24" s="13">
        <f>'Order Form'!E24</f>
        <v>0</v>
      </c>
      <c r="F24" s="13">
        <f>'Order Form'!F24</f>
        <v>0</v>
      </c>
      <c r="G24" s="164">
        <f>'Order Form'!G24</f>
        <v>0</v>
      </c>
      <c r="H24" s="164">
        <f>'Order Form'!H24</f>
        <v>0</v>
      </c>
      <c r="I24" s="70">
        <f>'Order Form'!I24</f>
        <v>0</v>
      </c>
      <c r="J24" s="13">
        <f>'Order Form'!J24</f>
        <v>0</v>
      </c>
      <c r="K24" s="121">
        <f>'Order Form'!K24</f>
        <v>0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>
        <f>'Order Form'!G25</f>
        <v>0</v>
      </c>
      <c r="H25" s="165">
        <f>'Order Form'!H25</f>
        <v>0</v>
      </c>
      <c r="I25" s="71">
        <f>'Order Form'!I25</f>
        <v>0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McDonald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 t="str">
        <f>Dealer_Order_No</f>
        <v>SO8779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Ensuite</v>
      </c>
      <c r="C8">
        <f>'Order Form'!D9</f>
        <v>1</v>
      </c>
      <c r="D8" t="str">
        <f>'Order Form'!F9</f>
        <v>220 New Ebony</v>
      </c>
      <c r="E8" t="str">
        <f>'Order Form'!G9</f>
        <v>IM</v>
      </c>
      <c r="F8">
        <f>'Order Form'!H9</f>
        <v>1995</v>
      </c>
      <c r="G8">
        <f>'Order Form'!I9</f>
        <v>2215</v>
      </c>
      <c r="H8">
        <f>((F8*G8)/(1000*1000))*C8</f>
        <v>4.4189249999999998</v>
      </c>
      <c r="I8" t="str">
        <f>'Order Form'!L9</f>
        <v>Default</v>
      </c>
      <c r="J8" t="str">
        <f>'Order Form'!E9</f>
        <v>63.5mm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>
        <f>'Order Form'!H23</f>
        <v>2500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>
        <f>'Order Form'!C10</f>
        <v>0</v>
      </c>
      <c r="C9">
        <f>'Order Form'!D10</f>
        <v>0</v>
      </c>
      <c r="D9">
        <f>'Order Form'!F10</f>
        <v>0</v>
      </c>
      <c r="E9">
        <f>'Order Form'!G10</f>
        <v>0</v>
      </c>
      <c r="F9">
        <f>'Order Form'!H10</f>
        <v>0</v>
      </c>
      <c r="G9">
        <f>'Order Form'!I10</f>
        <v>0</v>
      </c>
      <c r="H9">
        <f>((F9*G9)/(1000*1000))*C9</f>
        <v>0</v>
      </c>
      <c r="I9">
        <f>'Order Form'!L10</f>
        <v>0</v>
      </c>
      <c r="J9">
        <f>'Order Form'!E10</f>
        <v>0</v>
      </c>
      <c r="K9">
        <f>'Order Form'!O10</f>
        <v>0</v>
      </c>
      <c r="L9">
        <f>'Order Form'!K10</f>
        <v>0</v>
      </c>
      <c r="M9">
        <f>'Order Form'!M10</f>
        <v>0</v>
      </c>
      <c r="N9">
        <f>'Order Form'!N10</f>
        <v>0</v>
      </c>
      <c r="O9">
        <f>'Order Form'!E24</f>
        <v>0</v>
      </c>
      <c r="P9">
        <f>'Order Form'!F24</f>
        <v>0</v>
      </c>
      <c r="Q9" s="72">
        <f>'Order Form'!G24</f>
        <v>0</v>
      </c>
      <c r="R9" s="72">
        <f>'Order Form'!H24</f>
        <v>0</v>
      </c>
      <c r="S9" s="72">
        <f>'Order Form'!I24</f>
        <v>0</v>
      </c>
      <c r="T9">
        <f>'Order Form'!D24</f>
        <v>0</v>
      </c>
      <c r="U9">
        <f>'Order Form'!J24</f>
        <v>0</v>
      </c>
      <c r="V9">
        <f>'Order Form'!K24</f>
        <v>0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>
        <f>'Order Form'!G25</f>
        <v>0</v>
      </c>
      <c r="R10" s="72">
        <f>'Order Form'!H25</f>
        <v>0</v>
      </c>
      <c r="S10" s="7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4.4189249999999998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11</v>
      </c>
      <c r="G23">
        <f t="shared" ref="G23:G33" si="3">VLOOKUP(G8,DropRow,2,TRUE)</f>
        <v>12</v>
      </c>
      <c r="H23">
        <f>IF(C8=0,0,H8/C8)</f>
        <v>4.4189249999999998</v>
      </c>
      <c r="J23">
        <f t="shared" ref="J23:J33" ca="1" si="4">IF(J8&lt;&gt;0,VLOOKUP(J8,INDIRECT(Prefix &amp; "SlatSizePrices"),2,FALSE),0)</f>
        <v>64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0.505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0</v>
      </c>
      <c r="D24">
        <f t="shared" ca="1" si="1"/>
        <v>0</v>
      </c>
      <c r="F24" t="e">
        <f t="shared" si="2"/>
        <v>#N/A</v>
      </c>
      <c r="G24" t="e">
        <f t="shared" si="3"/>
        <v>#N/A</v>
      </c>
      <c r="H24">
        <f t="shared" ref="H24:H33" si="10">IF(C9=0,0,H9/C9)</f>
        <v>0</v>
      </c>
      <c r="J24">
        <f t="shared" ca="1" si="4"/>
        <v>0</v>
      </c>
      <c r="K24">
        <f t="shared" ca="1" si="5"/>
        <v>0</v>
      </c>
      <c r="L24" s="74">
        <f t="shared" ca="1" si="6"/>
        <v>0</v>
      </c>
      <c r="Q24" s="74" t="e">
        <f>VLOOKUP('Price Calculations'!Q9,b_ValanceDesignPrices,2,FALSE)</f>
        <v>#N/A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74">
        <f t="shared" ca="1" si="6"/>
        <v>0</v>
      </c>
      <c r="Q25" s="74" t="e">
        <f>VLOOKUP('Price Calculations'!Q10,b_ValanceDesignPrices,2,FALSE)</f>
        <v>#N/A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427.65</v>
      </c>
      <c r="L38">
        <f ca="1">L23*H38</f>
        <v>0</v>
      </c>
      <c r="Q38">
        <f ca="1">IF(ISNA(Q23),0,Q23*H38)</f>
        <v>0</v>
      </c>
      <c r="R38">
        <f>ROUND(R23*19.25,2)</f>
        <v>9.7200000000000006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437.37</v>
      </c>
      <c r="X38" s="63">
        <f ca="1">D38</f>
        <v>0</v>
      </c>
      <c r="Y38">
        <f ca="1">SUM(E38:V38)</f>
        <v>437.37</v>
      </c>
      <c r="Z38">
        <f ca="1">IF(W38="POA","POA",X38+(Y38*(1-$B$1)))</f>
        <v>306.15899999999999</v>
      </c>
      <c r="AA38">
        <f ca="1">IF(W38="POA","POA",ROUND(Z38*C8,2))</f>
        <v>306.16000000000003</v>
      </c>
      <c r="AB38">
        <f ca="1">W38*C8</f>
        <v>437.37</v>
      </c>
    </row>
    <row r="39" spans="1:29" x14ac:dyDescent="0.2">
      <c r="A39" t="str">
        <f>A24</f>
        <v>CB002</v>
      </c>
      <c r="C39">
        <f t="shared" ref="C39:C48" si="16">C9</f>
        <v>0</v>
      </c>
      <c r="D39">
        <f t="shared" ref="D39:D48" ca="1" si="17">IF(D24="POA","POA",D24)</f>
        <v>0</v>
      </c>
      <c r="H39">
        <f t="shared" ca="1" si="13"/>
        <v>0</v>
      </c>
      <c r="L39">
        <f t="shared" ref="L39:L48" ca="1" si="18">L24*H39</f>
        <v>0</v>
      </c>
      <c r="Q39">
        <f t="shared" ref="Q39:Q48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0</v>
      </c>
      <c r="X39" s="63">
        <f t="shared" ref="X39:X48" ca="1" si="21">D39</f>
        <v>0</v>
      </c>
      <c r="Y39">
        <f t="shared" ref="Y39:Y48" ca="1" si="22">SUM(E39:V39)</f>
        <v>0</v>
      </c>
      <c r="Z39">
        <f t="shared" ref="Z39:Z48" ca="1" si="23">IF(W39="POA","POA",X39+(Y39*(1-$B$1)))</f>
        <v>0</v>
      </c>
      <c r="AA39">
        <f t="shared" ref="AA39:AA48" ca="1" si="24">IF(W39="POA","POA",Z39*C9)</f>
        <v>0</v>
      </c>
      <c r="AB39">
        <f t="shared" ref="AB39:AB48" ca="1" si="25">W39*C9</f>
        <v>0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6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306.16000000000003</v>
      </c>
      <c r="AB51">
        <f ca="1">SUM(AB38:AB48)</f>
        <v>437.37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4.4189249999999998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306.16000000000003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725DC-2B6D-4325-AF48-2C430F3CA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Rebeca Lora</cp:lastModifiedBy>
  <cp:lastPrinted>2019-01-02T16:53:12Z</cp:lastPrinted>
  <dcterms:created xsi:type="dcterms:W3CDTF">2007-01-10T21:20:53Z</dcterms:created>
  <dcterms:modified xsi:type="dcterms:W3CDTF">2019-06-20T13:45:43Z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