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G/Gollop, 1 Le Champ Pres De L'Eglise/SO8707/"/>
    </mc:Choice>
  </mc:AlternateContent>
  <xr:revisionPtr revIDLastSave="0" documentId="8_{80E350C0-DE5F-4C46-9803-F5CFBD77A130}" xr6:coauthVersionLast="43" xr6:coauthVersionMax="43" xr10:uidLastSave="{00000000-0000-0000-0000-000000000000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-120" yWindow="-120" windowWidth="29040" windowHeight="1584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10" i="7"/>
  <c r="F10" i="7"/>
  <c r="F25" i="7" s="1"/>
  <c r="R11" i="7"/>
  <c r="F11" i="7"/>
  <c r="R12" i="7"/>
  <c r="F12" i="7"/>
  <c r="F27" i="7" s="1"/>
  <c r="R13" i="7"/>
  <c r="F13" i="7"/>
  <c r="R14" i="7"/>
  <c r="F14" i="7"/>
  <c r="F29" i="7" s="1"/>
  <c r="R15" i="7"/>
  <c r="F15" i="7"/>
  <c r="F30" i="7" s="1"/>
  <c r="R16" i="7"/>
  <c r="F16" i="7"/>
  <c r="F31" i="7" s="1"/>
  <c r="R17" i="7"/>
  <c r="F17" i="7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23" i="7" s="1"/>
  <c r="D9" i="7"/>
  <c r="B1" i="7"/>
  <c r="D18" i="7"/>
  <c r="D33" i="7" s="1"/>
  <c r="D48" i="7" s="1"/>
  <c r="J18" i="7"/>
  <c r="J33" i="7" s="1"/>
  <c r="G33" i="7"/>
  <c r="L18" i="7"/>
  <c r="L33" i="7" s="1"/>
  <c r="O33" i="6"/>
  <c r="L8" i="7"/>
  <c r="L23" i="7" s="1"/>
  <c r="K18" i="7"/>
  <c r="U18" i="7"/>
  <c r="U33" i="7" s="1"/>
  <c r="U48" i="7" s="1"/>
  <c r="V18" i="7"/>
  <c r="V33" i="7" s="1"/>
  <c r="V48" i="7" s="1"/>
  <c r="J17" i="7"/>
  <c r="G17" i="7"/>
  <c r="G32" i="7" s="1"/>
  <c r="K17" i="7"/>
  <c r="C17" i="7"/>
  <c r="L17" i="7"/>
  <c r="U17" i="7"/>
  <c r="V17" i="7"/>
  <c r="D17" i="7"/>
  <c r="D32" i="7" s="1"/>
  <c r="D47" i="7" s="1"/>
  <c r="X47" i="7" s="1"/>
  <c r="J16" i="7"/>
  <c r="G16" i="7"/>
  <c r="G31" i="7" s="1"/>
  <c r="K16" i="7"/>
  <c r="C16" i="7"/>
  <c r="L16" i="7"/>
  <c r="U16" i="7"/>
  <c r="V16" i="7"/>
  <c r="D16" i="7"/>
  <c r="D31" i="7" s="1"/>
  <c r="D46" i="7" s="1"/>
  <c r="J15" i="7"/>
  <c r="G15" i="7"/>
  <c r="G30" i="7" s="1"/>
  <c r="K15" i="7"/>
  <c r="C15" i="7"/>
  <c r="L15" i="7"/>
  <c r="U15" i="7"/>
  <c r="V15" i="7"/>
  <c r="D15" i="7"/>
  <c r="D30" i="7" s="1"/>
  <c r="D45" i="7" s="1"/>
  <c r="J14" i="7"/>
  <c r="G14" i="7"/>
  <c r="G29" i="7" s="1"/>
  <c r="K14" i="7"/>
  <c r="C14" i="7"/>
  <c r="L14" i="7"/>
  <c r="U14" i="7"/>
  <c r="V14" i="7"/>
  <c r="D14" i="7"/>
  <c r="D29" i="7" s="1"/>
  <c r="D44" i="7" s="1"/>
  <c r="J13" i="7"/>
  <c r="G13" i="7"/>
  <c r="G28" i="7" s="1"/>
  <c r="K13" i="7"/>
  <c r="C13" i="7"/>
  <c r="C43" i="7" s="1"/>
  <c r="L13" i="7"/>
  <c r="U13" i="7"/>
  <c r="V13" i="7"/>
  <c r="D13" i="7"/>
  <c r="D28" i="7" s="1"/>
  <c r="D43" i="7" s="1"/>
  <c r="J12" i="7"/>
  <c r="G12" i="7"/>
  <c r="G27" i="7" s="1"/>
  <c r="K12" i="7"/>
  <c r="C12" i="7"/>
  <c r="L12" i="7"/>
  <c r="U12" i="7"/>
  <c r="V12" i="7"/>
  <c r="D12" i="7"/>
  <c r="D27" i="7" s="1"/>
  <c r="D42" i="7" s="1"/>
  <c r="X42" i="7" s="1"/>
  <c r="J11" i="7"/>
  <c r="G11" i="7"/>
  <c r="G26" i="7" s="1"/>
  <c r="K11" i="7"/>
  <c r="C11" i="7"/>
  <c r="L11" i="7"/>
  <c r="U11" i="7"/>
  <c r="V11" i="7"/>
  <c r="D11" i="7"/>
  <c r="D26" i="7" s="1"/>
  <c r="D41" i="7" s="1"/>
  <c r="J10" i="7"/>
  <c r="G10" i="7"/>
  <c r="K10" i="7"/>
  <c r="C10" i="7"/>
  <c r="L10" i="7"/>
  <c r="U10" i="7"/>
  <c r="V10" i="7"/>
  <c r="D10" i="7"/>
  <c r="D25" i="7" s="1"/>
  <c r="D40" i="7" s="1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V23" i="7" s="1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11" i="7"/>
  <c r="Q26" i="7" s="1"/>
  <c r="Q12" i="7"/>
  <c r="Q13" i="7"/>
  <c r="Q28" i="7" s="1"/>
  <c r="Q14" i="7"/>
  <c r="Q29" i="7" s="1"/>
  <c r="Q15" i="7"/>
  <c r="Q30" i="7" s="1"/>
  <c r="Q16" i="7"/>
  <c r="Q31" i="7" s="1"/>
  <c r="Q17" i="7"/>
  <c r="Q32" i="7" s="1"/>
  <c r="Q18" i="7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F26" i="7"/>
  <c r="D24" i="7"/>
  <c r="D39" i="7" s="1"/>
  <c r="C41" i="7"/>
  <c r="C26" i="7"/>
  <c r="C45" i="7"/>
  <c r="C30" i="7"/>
  <c r="C32" i="7"/>
  <c r="C40" i="7"/>
  <c r="C42" i="7"/>
  <c r="C44" i="7"/>
  <c r="C29" i="7"/>
  <c r="C46" i="7"/>
  <c r="C31" i="7"/>
  <c r="H33" i="7"/>
  <c r="I35" i="13"/>
  <c r="H35" i="6"/>
  <c r="Q27" i="7"/>
  <c r="Q33" i="7"/>
  <c r="Q48" i="7" s="1"/>
  <c r="K33" i="7"/>
  <c r="U23" i="7"/>
  <c r="V32" i="7"/>
  <c r="U32" i="7"/>
  <c r="V31" i="7"/>
  <c r="U31" i="7"/>
  <c r="V30" i="7"/>
  <c r="U30" i="7"/>
  <c r="V29" i="7"/>
  <c r="U29" i="7"/>
  <c r="V28" i="7"/>
  <c r="U28" i="7"/>
  <c r="V27" i="7"/>
  <c r="U27" i="7"/>
  <c r="V26" i="7"/>
  <c r="U26" i="7"/>
  <c r="V25" i="7"/>
  <c r="U25" i="7"/>
  <c r="V24" i="7"/>
  <c r="U24" i="7"/>
  <c r="K32" i="7"/>
  <c r="L32" i="7"/>
  <c r="J32" i="7"/>
  <c r="K31" i="7"/>
  <c r="L31" i="7"/>
  <c r="J31" i="7"/>
  <c r="K30" i="7"/>
  <c r="L30" i="7"/>
  <c r="J30" i="7"/>
  <c r="K29" i="7"/>
  <c r="L29" i="7"/>
  <c r="J29" i="7"/>
  <c r="K28" i="7"/>
  <c r="L28" i="7"/>
  <c r="J28" i="7"/>
  <c r="K27" i="7"/>
  <c r="L27" i="7"/>
  <c r="J27" i="7"/>
  <c r="K26" i="7"/>
  <c r="L26" i="7"/>
  <c r="J26" i="7"/>
  <c r="K25" i="7"/>
  <c r="L25" i="7"/>
  <c r="J25" i="7"/>
  <c r="K24" i="7"/>
  <c r="K23" i="7"/>
  <c r="L24" i="7"/>
  <c r="J24" i="7"/>
  <c r="J23" i="7"/>
  <c r="H48" i="7"/>
  <c r="V47" i="7" l="1"/>
  <c r="U47" i="7"/>
  <c r="R32" i="7"/>
  <c r="R47" i="7" s="1"/>
  <c r="V46" i="7"/>
  <c r="U46" i="7"/>
  <c r="V45" i="7"/>
  <c r="U45" i="7"/>
  <c r="V44" i="7"/>
  <c r="U44" i="7"/>
  <c r="V43" i="7"/>
  <c r="U43" i="7"/>
  <c r="R28" i="7"/>
  <c r="R43" i="7" s="1"/>
  <c r="V42" i="7"/>
  <c r="U42" i="7"/>
  <c r="V41" i="7"/>
  <c r="U41" i="7"/>
  <c r="V40" i="7"/>
  <c r="U40" i="7"/>
  <c r="V39" i="7"/>
  <c r="U39" i="7"/>
  <c r="R24" i="7"/>
  <c r="R39" i="7" s="1"/>
  <c r="C47" i="7"/>
  <c r="C28" i="7"/>
  <c r="H12" i="7"/>
  <c r="J13" i="6" s="1"/>
  <c r="J13" i="13" s="1"/>
  <c r="C27" i="7"/>
  <c r="H25" i="7"/>
  <c r="C25" i="7"/>
  <c r="C23" i="7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R26" i="7"/>
  <c r="R41" i="7" s="1"/>
  <c r="R25" i="7"/>
  <c r="R40" i="7" s="1"/>
  <c r="D52" i="7"/>
  <c r="D53" i="7"/>
  <c r="D38" i="7"/>
  <c r="X38" i="7" s="1"/>
  <c r="H24" i="7"/>
  <c r="H8" i="7"/>
  <c r="H23" i="7" s="1"/>
  <c r="C24" i="7"/>
  <c r="G25" i="7"/>
  <c r="R27" i="7"/>
  <c r="R42" i="7" s="1"/>
  <c r="H11" i="7"/>
  <c r="H17" i="7"/>
  <c r="J18" i="6" s="1"/>
  <c r="J18" i="13" s="1"/>
  <c r="D50" i="7"/>
  <c r="H15" i="7"/>
  <c r="X39" i="7"/>
  <c r="X45" i="7"/>
  <c r="X44" i="7"/>
  <c r="L48" i="7"/>
  <c r="Y48" i="7" s="1"/>
  <c r="X46" i="7"/>
  <c r="X40" i="7"/>
  <c r="X41" i="7"/>
  <c r="X43" i="7"/>
  <c r="X48" i="7"/>
  <c r="W48" i="7"/>
  <c r="H45" i="7"/>
  <c r="H46" i="7"/>
  <c r="H41" i="7"/>
  <c r="H47" i="7"/>
  <c r="H42" i="7"/>
  <c r="H38" i="7"/>
  <c r="H44" i="7"/>
  <c r="H40" i="7"/>
  <c r="H39" i="7"/>
  <c r="H43" i="7"/>
  <c r="Q47" i="7" l="1"/>
  <c r="Q46" i="7"/>
  <c r="Q45" i="7"/>
  <c r="Q44" i="7"/>
  <c r="Q43" i="7"/>
  <c r="Q42" i="7"/>
  <c r="Q41" i="7"/>
  <c r="Q40" i="7"/>
  <c r="Q39" i="7"/>
  <c r="H32" i="7"/>
  <c r="H31" i="7"/>
  <c r="J16" i="6"/>
  <c r="J16" i="13" s="1"/>
  <c r="H30" i="7"/>
  <c r="J15" i="6"/>
  <c r="J15" i="13" s="1"/>
  <c r="H29" i="7"/>
  <c r="H28" i="7"/>
  <c r="H27" i="7"/>
  <c r="J12" i="6"/>
  <c r="J12" i="13" s="1"/>
  <c r="H26" i="7"/>
  <c r="Q38" i="7"/>
  <c r="L39" i="7"/>
  <c r="L38" i="7"/>
  <c r="L40" i="7"/>
  <c r="L44" i="7"/>
  <c r="Y44" i="7" s="1"/>
  <c r="L47" i="7"/>
  <c r="Y47" i="7" s="1"/>
  <c r="L43" i="7"/>
  <c r="L46" i="7"/>
  <c r="L42" i="7"/>
  <c r="L45" i="7"/>
  <c r="L41" i="7"/>
  <c r="H19" i="7"/>
  <c r="J9" i="6"/>
  <c r="D54" i="7"/>
  <c r="O35" i="6" s="1"/>
  <c r="AB48" i="7"/>
  <c r="Z48" i="7"/>
  <c r="N33" i="6" s="1"/>
  <c r="Y46" i="7" l="1"/>
  <c r="Y39" i="7"/>
  <c r="Y45" i="7"/>
  <c r="Y43" i="7"/>
  <c r="Y42" i="7"/>
  <c r="Y41" i="7"/>
  <c r="Y40" i="7"/>
  <c r="W47" i="7"/>
  <c r="AB47" i="7" s="1"/>
  <c r="W46" i="7"/>
  <c r="AB46" i="7" s="1"/>
  <c r="W45" i="7"/>
  <c r="AB45" i="7" s="1"/>
  <c r="W44" i="7"/>
  <c r="AB44" i="7" s="1"/>
  <c r="W43" i="7"/>
  <c r="AB43" i="7" s="1"/>
  <c r="W42" i="7"/>
  <c r="AB42" i="7" s="1"/>
  <c r="W41" i="7"/>
  <c r="AB41" i="7" s="1"/>
  <c r="W40" i="7"/>
  <c r="AB40" i="7" s="1"/>
  <c r="W39" i="7"/>
  <c r="AB39" i="7" s="1"/>
  <c r="Y38" i="7"/>
  <c r="W38" i="7"/>
  <c r="AB38" i="7" s="1"/>
  <c r="A1" i="6"/>
  <c r="A1" i="13"/>
  <c r="X58" i="7"/>
  <c r="J9" i="13"/>
  <c r="J20" i="6"/>
  <c r="J20" i="13" s="1"/>
  <c r="AA48" i="7"/>
  <c r="Z47" i="7" l="1"/>
  <c r="Z46" i="7"/>
  <c r="Z44" i="7"/>
  <c r="N29" i="6" s="1"/>
  <c r="Z45" i="7"/>
  <c r="Z43" i="7"/>
  <c r="N28" i="6" s="1"/>
  <c r="Z42" i="7"/>
  <c r="N27" i="6" s="1"/>
  <c r="Z41" i="7"/>
  <c r="N26" i="6" s="1"/>
  <c r="Z40" i="7"/>
  <c r="N25" i="6" s="1"/>
  <c r="Z39" i="7"/>
  <c r="AB51" i="7"/>
  <c r="X61" i="7" s="1"/>
  <c r="O37" i="6" s="1"/>
  <c r="Z38" i="7"/>
  <c r="N23" i="6" s="1"/>
  <c r="AA47" i="7" l="1"/>
  <c r="O32" i="6" s="1"/>
  <c r="N32" i="6"/>
  <c r="N31" i="6"/>
  <c r="AA46" i="7"/>
  <c r="O31" i="6" s="1"/>
  <c r="AA44" i="7"/>
  <c r="O29" i="6" s="1"/>
  <c r="N30" i="6"/>
  <c r="AA45" i="7"/>
  <c r="O30" i="6" s="1"/>
  <c r="AA43" i="7"/>
  <c r="O28" i="6" s="1"/>
  <c r="AA42" i="7"/>
  <c r="O27" i="6" s="1"/>
  <c r="AA41" i="7"/>
  <c r="O26" i="6" s="1"/>
  <c r="AA40" i="7"/>
  <c r="O25" i="6" s="1"/>
  <c r="AA39" i="7"/>
  <c r="O24" i="6" s="1"/>
  <c r="N24" i="6"/>
  <c r="AA38" i="7"/>
  <c r="AA51" i="7" l="1"/>
  <c r="O23" i="6"/>
  <c r="X55" i="7"/>
  <c r="X60" i="7" l="1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<sst xmlns="http://schemas.openxmlformats.org/spreadsheetml/2006/main" count="765" uniqueCount="357">
  <si>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</si>
  <si>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</si>
  <si>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</si>
  <si>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</si>
  <si>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</si>
  <si>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</si>
  <si>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</si>
  <si>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</si>
  <si>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</si>
  <si>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</si>
  <si>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</si>
  <si>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</si>
  <si>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</si>
  <si>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</si>
  <si>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</si>
  <si>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</si>
  <si>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</si>
  <si>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</si>
  <si>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</si>
  <si>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</si>
  <si>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</si>
  <si>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</si>
  <si>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</si>
  <si>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</si>
  <si>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</si>
  <si>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</si>
  <si>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</si>
  <si>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</si>
  <si>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</si>
  <si>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</si>
  <si>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</si>
  <si>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</si>
  <si>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</si>
  <si>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</si>
  <si>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</si>
  <si>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</si>
  <si>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</si>
  <si>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</si>
  <si>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</si>
  <si>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</si>
  <si>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</si>
  <si>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</si>
  <si>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</si>
  <si>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</si>
  <si>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</si>
  <si>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</si>
  <si>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</si>
  <si>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</si>
  <si>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</si>
  <si>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</si>
  <si>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</si>
  <si>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</si>
  <si>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</si>
  <si>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</si>
  <si>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</si>
  <si>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</si>
  <si>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</si>
  <si>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</si>
  <si>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</si>
  <si>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</si>
  <si>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</si>
  <si>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</si>
  <si>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</si>
  <si>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</si>
  <si>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</si>
  <si>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</si>
  <si>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</si>
  <si>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</si>
  <si>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</si>
  <si>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</si>
  <si>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</si>
  <si>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</si>
  <si>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</si>
  <si>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</si>
  <si>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</si>
  <si>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</si>
  <si>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</si>
  <si>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</si>
  <si>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</si>
  <si>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</si>
  <si>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</si>
  <si>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</si>
  <si>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</si>
  <si>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</si>
  <si>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</si>
  <si>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</si>
  <si>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</si>
  <si>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</si>
  <si>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</si>
  <si>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</si>
  <si>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</si>
  <si>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</si>
  <si>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</si>
  <si>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</si>
  <si>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</si>
  <si>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</si>
  <si>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</si>
  <si>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</si>
  <si>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</si>
  <si>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</si>
  <si>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</si>
  <si>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</si>
  <si>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</si>
  <si>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</si>
  <si>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</si>
  <si>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</si>
  <si>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</si>
  <si>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</si>
  <si>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</si>
  <si>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</si>
  <si>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</si>
  <si>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</si>
  <si>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</si>
  <si>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</si>
  <si>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</si>
  <si>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</si>
  <si>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</si>
  <si>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</si>
  <si>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</si>
  <si>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</si>
  <si>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</si>
  <si>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</si>
  <si>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</si>
  <si>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</si>
  <si>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</si>
  <si>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</si>
  <si>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</si>
  <si>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</si>
  <si>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</si>
  <si>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</si>
  <si>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</si>
  <si>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</si>
  <si>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</si>
  <si>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</si>
  <si>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</si>
  <si>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</si>
  <si>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</si>
  <si>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</si>
  <si>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</si>
  <si>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</si>
  <si>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</si>
  <si>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</si>
  <si>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</si>
  <si>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</si>
  <si>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</si>
  <si>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</si>
  <si>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</si>
  <si>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</si>
  <si>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</si>
  <si>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</si>
  <si>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</si>
  <si>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</si>
  <si>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</si>
  <si>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</si>
  <si>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</si>
  <si>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</si>
  <si>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</si>
  <si>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</si>
  <si>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</si>
  <si>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</si>
  <si>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</si>
  <si>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</si>
  <si>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</si>
  <si>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</si>
  <si>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</si>
  <si>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</si>
  <si>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</si>
  <si>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</si>
  <si>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</si>
  <si>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</si>
  <si>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</si>
  <si>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</si>
  <si>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</si>
  <si>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</si>
  <si>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</si>
  <si>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</si>
  <si>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</si>
  <si>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</si>
  <si>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</si>
  <si>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</si>
  <si>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</si>
  <si>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</si>
  <si>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</si>
  <si>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</si>
  <si>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</si>
  <si>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</si>
  <si>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</si>
  <si>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</si>
  <si>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</si>
  <si>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</si>
  <si>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</si>
  <si>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</si>
  <si>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</si>
  <si>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</si>
  <si>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</si>
  <si>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</si>
  <si>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</si>
  <si>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</si>
  <si>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</si>
  <si>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</si>
  <si>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</si>
  <si>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</si>
  <si>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</si>
  <si>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</si>
  <si>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</si>
  <si>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</si>
  <si>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</si>
  <si>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</si>
  <si>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</si>
  <si>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</si>
  <si>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</si>
  <si>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</si>
  <si>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</si>
  <si>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</si>
  <si>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</si>
  <si>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</si>
  <si>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</si>
  <si>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</si>
  <si>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</si>
  <si>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</si>
  <si>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</si>
  <si>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</si>
  <si>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</si>
  <si>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</si>
  <si>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</si>
  <si>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</si>
  <si>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</si>
  <si>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</si>
  <si>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</si>
  <si>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</si>
  <si>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</si>
  <si>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</si>
  <si>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</si>
  <si>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</si>
  <si>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</si>
  <si>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</si>
  <si>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</si>
  <si>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</si>
  <si>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</si>
  <si>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</si>
  <si>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</si>
  <si>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</si>
  <si>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</si>
  <si>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</si>
  <si>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</si>
  <si>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</si>
  <si>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</si>
  <si>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</si>
  <si>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</si>
  <si>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</si>
  <si>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</si>
  <si>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</si>
  <si>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</si>
  <si>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</si>
  <si>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</si>
  <si>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</si>
  <si>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</si>
  <si>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</si>
  <si>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</si>
  <si>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</si>
  <si>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</si>
  <si>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</si>
  <si>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</si>
  <si>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</si>
  <si>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</si>
  <si>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</si>
  <si>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</si>
  <si>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</si>
  <si>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</si>
  <si>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</si>
  <si>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</si>
  <si>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</si>
  <si>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</si>
  <si>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</si>
  <si>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</si>
  <si>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</si>
  <si>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</si>
  <si>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</si>
  <si>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</si>
  <si>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</si>
  <si>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</si>
  <si>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</si>
  <si>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</si>
  <si>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</si>
  <si>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</si>
  <si>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</si>
  <si>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</si>
  <si>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</si>
  <si>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</si>
  <si>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</si>
  <si>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</si>
  <si>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</si>
  <si>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</si>
  <si>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</si>
  <si>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</si>
  <si>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</si>
  <si>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</si>
  <si>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</si>
  <si>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</si>
  <si>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</si>
  <si>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</si>
  <si>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</si>
  <si>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</si>
  <si>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</si>
  <si>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</si>
  <si>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</si>
  <si>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</si>
  <si>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</si>
  <si>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</si>
  <si>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</si>
  <si>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</si>
  <si>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</si>
  <si>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</si>
  <si>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</si>
  <si>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</si>
  <si>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</si>
  <si>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</si>
  <si>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</si>
  <si>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</si>
  <si>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</si>
  <si>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</si>
  <si>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</si>
  <si>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</si>
  <si>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</si>
  <si>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</si>
  <si>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</si>
  <si>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</si>
  <si>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</si>
  <si>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</si>
  <si>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</si>
  <si>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</si>
  <si>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</si>
  <si>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</si>
  <si>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</si>
  <si>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</si>
  <si>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</si>
  <si>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</si>
  <si>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</si>
  <si>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</si>
  <si>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</si>
  <si>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</si>
  <si>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</si>
  <si>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</si>
  <si>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</si>
  <si>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</si>
  <si>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</si>
  <si>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</si>
  <si>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SO8707</t>
  </si>
  <si>
    <t>GOLLOP</t>
  </si>
  <si>
    <t>UTILITY</t>
  </si>
  <si>
    <t>BEDROOM 4</t>
  </si>
  <si>
    <t>BEDROOM 3</t>
  </si>
  <si>
    <t>BEDROOM 2</t>
  </si>
  <si>
    <t>BEDROOM 1</t>
  </si>
  <si>
    <t>ENSUIT</t>
  </si>
  <si>
    <t>BATHROOM</t>
  </si>
  <si>
    <t xml:space="preserve">Custom colour - Mattingley Grey as Adrian discussed with Dave Goodman &amp; Justin Allen.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</si>
</sst>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  <xf numFmtId="0" fontId="1" fillId="4" borderId="22" xfId="0" applyFont="1" applyFill="1" applyBorder="1" applyAlignment="1" applyProtection="1"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U28" sqref="U28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10.692799999999998</v>
      </c>
      <c r="B1" s="17" t="str">
        <f>'Price Calculations'!D1</f>
        <v>Trade</v>
      </c>
      <c r="C1" s="53"/>
      <c r="D1" s="243" t="str">
        <f ca="1">IF(TODAY()&lt;40589,"This Form is Not Valid until 15th Feb","The PureWood Order Form")</f>
        <v>The PureWood Order Form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1" t="s">
        <v>344</v>
      </c>
      <c r="F2" s="252"/>
      <c r="G2" s="253"/>
      <c r="H2" s="31"/>
      <c r="I2" s="32" t="s">
        <v>103</v>
      </c>
      <c r="J2" s="239" t="s">
        <v>347</v>
      </c>
      <c r="K2" s="240"/>
      <c r="L2" s="31"/>
      <c r="M2" s="32" t="s">
        <v>104</v>
      </c>
      <c r="N2" s="244"/>
      <c r="O2" s="245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4" t="s">
        <v>345</v>
      </c>
      <c r="F4" s="250"/>
      <c r="G4" s="245"/>
      <c r="H4" s="29"/>
      <c r="I4" s="38" t="s">
        <v>105</v>
      </c>
      <c r="J4" s="241" t="s">
        <v>348</v>
      </c>
      <c r="K4" s="242"/>
      <c r="L4" s="34"/>
      <c r="M4" s="32" t="s">
        <v>106</v>
      </c>
      <c r="N4" s="246"/>
      <c r="O4" s="245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4"/>
      <c r="L5" s="254"/>
      <c r="M5" s="254"/>
      <c r="N5" s="254"/>
      <c r="O5" s="41"/>
      <c r="P5" s="5"/>
    </row>
    <row r="6" spans="1:20" ht="15.75" customHeight="1" thickBot="1" x14ac:dyDescent="0.25">
      <c r="A6" s="238" t="s">
        <v>119</v>
      </c>
      <c r="B6" s="238"/>
      <c r="C6" s="238"/>
      <c r="D6" s="42" t="s">
        <v>97</v>
      </c>
      <c r="E6" s="247" t="s">
        <v>265</v>
      </c>
      <c r="F6" s="248"/>
      <c r="G6" s="249"/>
      <c r="H6" s="43"/>
      <c r="I6" s="42" t="s">
        <v>61</v>
      </c>
      <c r="J6" s="241" t="s">
        <v>246</v>
      </c>
      <c r="K6" s="242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/>
      <c r="D9" s="12"/>
      <c r="E9" s="12"/>
      <c r="F9" s="12"/>
      <c r="G9" s="12"/>
      <c r="H9" s="12"/>
      <c r="I9" s="12"/>
      <c r="J9" s="172">
        <f>'Price Calculations'!H8</f>
        <v>0</v>
      </c>
      <c r="K9" s="12"/>
      <c r="L9" s="12"/>
      <c r="M9" s="12"/>
      <c r="N9" s="12"/>
      <c r="O9" s="192"/>
    </row>
    <row r="10" spans="1:20" ht="15" customHeight="1" x14ac:dyDescent="0.2">
      <c r="B10" s="9" t="s">
        <v>3</v>
      </c>
      <c r="C10" s="179" t="s">
        <v>349</v>
      </c>
      <c r="D10" s="13">
        <v>1</v>
      </c>
      <c r="E10" s="13" t="s">
        <v>11</v>
      </c>
      <c r="F10" s="13"/>
      <c r="G10" s="13" t="s">
        <v>276</v>
      </c>
      <c r="H10" s="13">
        <v>1130</v>
      </c>
      <c r="I10" s="13">
        <v>1040</v>
      </c>
      <c r="J10" s="172">
        <f>'Price Calculations'!H9</f>
        <v>1.1752</v>
      </c>
      <c r="K10" s="13" t="s">
        <v>36</v>
      </c>
      <c r="L10" s="13" t="s">
        <v>91</v>
      </c>
      <c r="M10" s="13" t="s">
        <v>91</v>
      </c>
      <c r="N10" s="13" t="s">
        <v>85</v>
      </c>
      <c r="O10" s="193" t="s">
        <v>317</v>
      </c>
    </row>
    <row r="11" spans="1:20" ht="15" customHeight="1" x14ac:dyDescent="0.2">
      <c r="B11" s="10" t="s">
        <v>4</v>
      </c>
      <c r="C11" s="305" t="s">
        <v>350</v>
      </c>
      <c r="D11" s="14">
        <v>1</v>
      </c>
      <c r="E11" s="14" t="s">
        <v>11</v>
      </c>
      <c r="F11" s="14"/>
      <c r="G11" s="14" t="s">
        <v>276</v>
      </c>
      <c r="H11" s="14">
        <v>1150</v>
      </c>
      <c r="I11" s="14">
        <v>1120</v>
      </c>
      <c r="J11" s="173">
        <f>'Price Calculations'!H10</f>
        <v>1.288</v>
      </c>
      <c r="K11" s="14" t="s">
        <v>36</v>
      </c>
      <c r="L11" s="14" t="s">
        <v>91</v>
      </c>
      <c r="M11" s="14" t="s">
        <v>91</v>
      </c>
      <c r="N11" s="14" t="s">
        <v>85</v>
      </c>
      <c r="O11" s="194" t="s">
        <v>317</v>
      </c>
    </row>
    <row r="12" spans="1:20" s="6" customFormat="1" ht="15" customHeight="1" x14ac:dyDescent="0.2">
      <c r="A12"/>
      <c r="B12" s="9" t="s">
        <v>5</v>
      </c>
      <c r="C12" s="179" t="s">
        <v>351</v>
      </c>
      <c r="D12" s="13">
        <v>1</v>
      </c>
      <c r="E12" s="13" t="s">
        <v>11</v>
      </c>
      <c r="F12" s="13"/>
      <c r="G12" s="13" t="s">
        <v>276</v>
      </c>
      <c r="H12" s="13">
        <v>1135</v>
      </c>
      <c r="I12" s="13">
        <v>1130</v>
      </c>
      <c r="J12" s="172">
        <f>'Price Calculations'!H11</f>
        <v>1.2825500000000001</v>
      </c>
      <c r="K12" s="13" t="s">
        <v>36</v>
      </c>
      <c r="L12" s="13" t="s">
        <v>91</v>
      </c>
      <c r="M12" s="13" t="s">
        <v>91</v>
      </c>
      <c r="N12" s="13" t="s">
        <v>85</v>
      </c>
      <c r="O12" s="193" t="s">
        <v>317</v>
      </c>
      <c r="P12"/>
      <c r="Q12"/>
      <c r="R12"/>
      <c r="S12"/>
      <c r="T12"/>
    </row>
    <row r="13" spans="1:20" ht="15" customHeight="1" x14ac:dyDescent="0.2">
      <c r="B13" s="8" t="s">
        <v>6</v>
      </c>
      <c r="C13" s="171" t="s">
        <v>352</v>
      </c>
      <c r="D13" s="12">
        <v>1</v>
      </c>
      <c r="E13" s="12" t="s">
        <v>11</v>
      </c>
      <c r="F13" s="12"/>
      <c r="G13" s="12" t="s">
        <v>276</v>
      </c>
      <c r="H13" s="12">
        <v>1140</v>
      </c>
      <c r="I13" s="12">
        <v>1130</v>
      </c>
      <c r="J13" s="174">
        <f>'Price Calculations'!H12</f>
        <v>1.2882</v>
      </c>
      <c r="K13" s="12" t="s">
        <v>36</v>
      </c>
      <c r="L13" s="12" t="s">
        <v>91</v>
      </c>
      <c r="M13" s="12" t="s">
        <v>91</v>
      </c>
      <c r="N13" s="12" t="s">
        <v>85</v>
      </c>
      <c r="O13" s="192" t="s">
        <v>317</v>
      </c>
    </row>
    <row r="14" spans="1:20" s="6" customFormat="1" ht="15" customHeight="1" x14ac:dyDescent="0.2">
      <c r="A14"/>
      <c r="B14" s="49" t="s">
        <v>107</v>
      </c>
      <c r="C14" s="179" t="s">
        <v>353</v>
      </c>
      <c r="D14" s="50">
        <v>1</v>
      </c>
      <c r="E14" s="50" t="s">
        <v>11</v>
      </c>
      <c r="F14" s="50"/>
      <c r="G14" s="50" t="s">
        <v>276</v>
      </c>
      <c r="H14" s="50">
        <v>1740</v>
      </c>
      <c r="I14" s="50">
        <v>1140</v>
      </c>
      <c r="J14" s="175">
        <f>'Price Calculations'!H13</f>
        <v>1.9836</v>
      </c>
      <c r="K14" s="50" t="s">
        <v>36</v>
      </c>
      <c r="L14" s="50" t="s">
        <v>91</v>
      </c>
      <c r="M14" s="50" t="s">
        <v>91</v>
      </c>
      <c r="N14" s="50" t="s">
        <v>85</v>
      </c>
      <c r="O14" s="195" t="s">
        <v>317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305" t="s">
        <v>353</v>
      </c>
      <c r="D15" s="14">
        <v>1</v>
      </c>
      <c r="E15" s="14" t="s">
        <v>11</v>
      </c>
      <c r="F15" s="14"/>
      <c r="G15" s="14" t="s">
        <v>276</v>
      </c>
      <c r="H15" s="14">
        <v>1140</v>
      </c>
      <c r="I15" s="14">
        <v>1130</v>
      </c>
      <c r="J15" s="173">
        <f>'Price Calculations'!H14</f>
        <v>1.2882</v>
      </c>
      <c r="K15" s="14" t="s">
        <v>36</v>
      </c>
      <c r="L15" s="14" t="s">
        <v>91</v>
      </c>
      <c r="M15" s="14" t="s">
        <v>91</v>
      </c>
      <c r="N15" s="14" t="s">
        <v>85</v>
      </c>
      <c r="O15" s="194" t="s">
        <v>317</v>
      </c>
    </row>
    <row r="16" spans="1:20" s="6" customFormat="1" ht="15" customHeight="1" x14ac:dyDescent="0.2">
      <c r="A16"/>
      <c r="B16" s="49" t="s">
        <v>109</v>
      </c>
      <c r="C16" s="179" t="s">
        <v>354</v>
      </c>
      <c r="D16" s="50">
        <v>1</v>
      </c>
      <c r="E16" s="50" t="s">
        <v>11</v>
      </c>
      <c r="F16" s="50"/>
      <c r="G16" s="50" t="s">
        <v>276</v>
      </c>
      <c r="H16" s="50">
        <v>610</v>
      </c>
      <c r="I16" s="50">
        <v>1120</v>
      </c>
      <c r="J16" s="175">
        <f>'Price Calculations'!H15</f>
        <v>0.68320000000000003</v>
      </c>
      <c r="K16" s="50" t="s">
        <v>36</v>
      </c>
      <c r="L16" s="50" t="s">
        <v>91</v>
      </c>
      <c r="M16" s="50" t="s">
        <v>91</v>
      </c>
      <c r="N16" s="50" t="s">
        <v>85</v>
      </c>
      <c r="O16" s="195" t="s">
        <v>317</v>
      </c>
      <c r="P16"/>
      <c r="Q16"/>
      <c r="R16"/>
      <c r="S16"/>
      <c r="T16"/>
    </row>
    <row r="17" spans="1:21" ht="15" customHeight="1" x14ac:dyDescent="0.2">
      <c r="B17" s="8" t="s">
        <v>110</v>
      </c>
      <c r="C17" s="171" t="s">
        <v>354</v>
      </c>
      <c r="D17" s="12">
        <v>1</v>
      </c>
      <c r="E17" s="12" t="s">
        <v>11</v>
      </c>
      <c r="F17" s="12"/>
      <c r="G17" s="12" t="s">
        <v>276</v>
      </c>
      <c r="H17" s="12">
        <v>620</v>
      </c>
      <c r="I17" s="12">
        <v>1110</v>
      </c>
      <c r="J17" s="174">
        <f>'Price Calculations'!H16</f>
        <v>0.68820000000000003</v>
      </c>
      <c r="K17" s="12" t="s">
        <v>36</v>
      </c>
      <c r="L17" s="12" t="s">
        <v>91</v>
      </c>
      <c r="M17" s="12" t="s">
        <v>91</v>
      </c>
      <c r="N17" s="12" t="s">
        <v>85</v>
      </c>
      <c r="O17" s="192" t="s">
        <v>317</v>
      </c>
    </row>
    <row r="18" spans="1:21" s="6" customFormat="1" ht="15" customHeight="1" x14ac:dyDescent="0.2">
      <c r="A18"/>
      <c r="B18" s="49" t="s">
        <v>111</v>
      </c>
      <c r="C18" s="179" t="s">
        <v>355</v>
      </c>
      <c r="D18" s="50">
        <v>1</v>
      </c>
      <c r="E18" s="50" t="s">
        <v>11</v>
      </c>
      <c r="F18" s="50"/>
      <c r="G18" s="50" t="s">
        <v>276</v>
      </c>
      <c r="H18" s="50">
        <v>915</v>
      </c>
      <c r="I18" s="50">
        <v>1110</v>
      </c>
      <c r="J18" s="175">
        <f>'Price Calculations'!H17</f>
        <v>1.0156499999999999</v>
      </c>
      <c r="K18" s="50" t="s">
        <v>36</v>
      </c>
      <c r="L18" s="50" t="s">
        <v>91</v>
      </c>
      <c r="M18" s="50" t="s">
        <v>91</v>
      </c>
      <c r="N18" s="50" t="s">
        <v>85</v>
      </c>
      <c r="O18" s="195" t="s">
        <v>317</v>
      </c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10.692799999999998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/>
      <c r="D23" s="12"/>
      <c r="E23" s="12"/>
      <c r="F23" s="12"/>
      <c r="G23" s="136"/>
      <c r="H23" s="136"/>
      <c r="I23" s="69"/>
      <c r="J23" s="12"/>
      <c r="K23" s="141"/>
      <c r="L23" s="12"/>
      <c r="M23" s="207"/>
      <c r="N23" s="8">
        <f ca="1">IF(ISNA('Price Calculations'!Z38),"",ROUND('Price Calculations'!Z38,2))</f>
        <v>0</v>
      </c>
      <c r="O23" s="213" t="str">
        <f>IF(C9="","",IF(ISNA('Price Calculations'!AA38),"Incomplete details",'Price Calculations'!AA38))</f>
        <v/>
      </c>
    </row>
    <row r="24" spans="1:21" ht="15" customHeight="1" x14ac:dyDescent="0.2">
      <c r="B24" s="9" t="s">
        <v>3</v>
      </c>
      <c r="C24" s="13" t="s">
        <v>342</v>
      </c>
      <c r="D24" s="13" t="s">
        <v>239</v>
      </c>
      <c r="E24" s="13" t="s">
        <v>56</v>
      </c>
      <c r="F24" s="13" t="s">
        <v>57</v>
      </c>
      <c r="G24" s="137" t="s">
        <v>195</v>
      </c>
      <c r="H24" s="137" t="s">
        <v>113</v>
      </c>
      <c r="I24" s="70" t="s">
        <v>266</v>
      </c>
      <c r="J24" s="13" t="s">
        <v>35</v>
      </c>
      <c r="K24" s="142">
        <v>1</v>
      </c>
      <c r="L24" s="13" t="s">
        <v>113</v>
      </c>
      <c r="M24" s="208" t="s">
        <v>311</v>
      </c>
      <c r="N24" s="9">
        <f ca="1">IF(ISNA('Price Calculations'!Z39),"",ROUND('Price Calculations'!Z39,2))</f>
        <v>81.11</v>
      </c>
      <c r="O24" s="199">
        <f ca="1">IF(C10="","",IF(ISNA('Price Calculations'!AA39),"Incomplete details",'Price Calculations'!AA39))</f>
        <v>81.111800000000002</v>
      </c>
    </row>
    <row r="25" spans="1:21" ht="15" customHeight="1" x14ac:dyDescent="0.2">
      <c r="B25" s="10" t="s">
        <v>4</v>
      </c>
      <c r="C25" s="14" t="s">
        <v>342</v>
      </c>
      <c r="D25" s="14" t="s">
        <v>240</v>
      </c>
      <c r="E25" s="14" t="s">
        <v>56</v>
      </c>
      <c r="F25" s="14" t="s">
        <v>57</v>
      </c>
      <c r="G25" s="138" t="s">
        <v>195</v>
      </c>
      <c r="H25" s="138" t="s">
        <v>113</v>
      </c>
      <c r="I25" s="71" t="s">
        <v>266</v>
      </c>
      <c r="J25" s="14" t="s">
        <v>35</v>
      </c>
      <c r="K25" s="143">
        <v>1</v>
      </c>
      <c r="L25" s="14" t="s">
        <v>113</v>
      </c>
      <c r="M25" s="209" t="s">
        <v>311</v>
      </c>
      <c r="N25" s="10">
        <f ca="1">IF(ISNA('Price Calculations'!Z40),"",ROUND('Price Calculations'!Z40,2))</f>
        <v>92.66</v>
      </c>
      <c r="O25" s="198">
        <f ca="1">IF(C11="","",IF(ISNA('Price Calculations'!AA40),"Incomplete details",'Price Calculations'!AA40))</f>
        <v>92.661799999999985</v>
      </c>
    </row>
    <row r="26" spans="1:21" ht="15" customHeight="1" x14ac:dyDescent="0.2">
      <c r="B26" s="9" t="s">
        <v>5</v>
      </c>
      <c r="C26" s="13" t="s">
        <v>342</v>
      </c>
      <c r="D26" s="13" t="s">
        <v>239</v>
      </c>
      <c r="E26" s="13" t="s">
        <v>56</v>
      </c>
      <c r="F26" s="13" t="s">
        <v>57</v>
      </c>
      <c r="G26" s="137" t="s">
        <v>195</v>
      </c>
      <c r="H26" s="137" t="s">
        <v>113</v>
      </c>
      <c r="I26" s="70" t="s">
        <v>266</v>
      </c>
      <c r="J26" s="13" t="s">
        <v>35</v>
      </c>
      <c r="K26" s="142">
        <v>1</v>
      </c>
      <c r="L26" s="13" t="s">
        <v>113</v>
      </c>
      <c r="M26" s="208" t="s">
        <v>311</v>
      </c>
      <c r="N26" s="9">
        <f ca="1">IF(ISNA('Price Calculations'!Z41),"",ROUND('Price Calculations'!Z41,2))</f>
        <v>92.66</v>
      </c>
      <c r="O26" s="199">
        <f ca="1">IF(C12="","",IF(ISNA('Price Calculations'!AA41),"Incomplete details",'Price Calculations'!AA41))</f>
        <v>92.661799999999985</v>
      </c>
    </row>
    <row r="27" spans="1:21" ht="15" customHeight="1" x14ac:dyDescent="0.2">
      <c r="B27" s="8" t="s">
        <v>6</v>
      </c>
      <c r="C27" s="12" t="s">
        <v>342</v>
      </c>
      <c r="D27" s="12" t="s">
        <v>239</v>
      </c>
      <c r="E27" s="12" t="s">
        <v>56</v>
      </c>
      <c r="F27" s="12" t="s">
        <v>57</v>
      </c>
      <c r="G27" s="136" t="s">
        <v>195</v>
      </c>
      <c r="H27" s="136" t="s">
        <v>113</v>
      </c>
      <c r="I27" s="69" t="s">
        <v>266</v>
      </c>
      <c r="J27" s="12" t="s">
        <v>35</v>
      </c>
      <c r="K27" s="141">
        <v>1</v>
      </c>
      <c r="L27" s="12" t="s">
        <v>113</v>
      </c>
      <c r="M27" s="207" t="s">
        <v>311</v>
      </c>
      <c r="N27" s="8">
        <f ca="1">IF(ISNA('Price Calculations'!Z42),"",ROUND('Price Calculations'!Z42,2))</f>
        <v>92.66</v>
      </c>
      <c r="O27" s="213">
        <f ca="1">IF(C13="","",IF(ISNA('Price Calculations'!AA42),"Incomplete details",'Price Calculations'!AA42))</f>
        <v>92.661799999999985</v>
      </c>
    </row>
    <row r="28" spans="1:21" ht="15" customHeight="1" x14ac:dyDescent="0.2">
      <c r="B28" s="49" t="s">
        <v>107</v>
      </c>
      <c r="C28" s="50" t="s">
        <v>342</v>
      </c>
      <c r="D28" s="50" t="s">
        <v>239</v>
      </c>
      <c r="E28" s="50" t="s">
        <v>56</v>
      </c>
      <c r="F28" s="50" t="s">
        <v>57</v>
      </c>
      <c r="G28" s="137" t="s">
        <v>195</v>
      </c>
      <c r="H28" s="137" t="s">
        <v>113</v>
      </c>
      <c r="I28" s="70" t="s">
        <v>266</v>
      </c>
      <c r="J28" s="50" t="s">
        <v>35</v>
      </c>
      <c r="K28" s="148">
        <v>1</v>
      </c>
      <c r="L28" s="50" t="s">
        <v>113</v>
      </c>
      <c r="M28" s="210" t="s">
        <v>311</v>
      </c>
      <c r="N28" s="49">
        <f ca="1">IF(ISNA('Price Calculations'!Z43),"",ROUND('Price Calculations'!Z43,2))</f>
        <v>139.04</v>
      </c>
      <c r="O28" s="199">
        <f ca="1">IF(C14="","",IF(ISNA('Price Calculations'!AA43),"Incomplete details",'Price Calculations'!AA43))</f>
        <v>139.03889999999998</v>
      </c>
    </row>
    <row r="29" spans="1:21" ht="15" customHeight="1" x14ac:dyDescent="0.2">
      <c r="B29" s="10" t="s">
        <v>108</v>
      </c>
      <c r="C29" s="14" t="s">
        <v>342</v>
      </c>
      <c r="D29" s="14" t="s">
        <v>239</v>
      </c>
      <c r="E29" s="14" t="s">
        <v>56</v>
      </c>
      <c r="F29" s="14" t="s">
        <v>57</v>
      </c>
      <c r="G29" s="138" t="s">
        <v>195</v>
      </c>
      <c r="H29" s="138" t="s">
        <v>113</v>
      </c>
      <c r="I29" s="71" t="s">
        <v>266</v>
      </c>
      <c r="J29" s="14" t="s">
        <v>35</v>
      </c>
      <c r="K29" s="143">
        <v>1</v>
      </c>
      <c r="L29" s="14" t="s">
        <v>113</v>
      </c>
      <c r="M29" s="209" t="s">
        <v>311</v>
      </c>
      <c r="N29" s="10">
        <f ca="1">IF(ISNA('Price Calculations'!Z44),"",ROUND('Price Calculations'!Z44,2))</f>
        <v>92.66</v>
      </c>
      <c r="O29" s="198">
        <f ca="1">IF(C15="","",IF(ISNA('Price Calculations'!AA44),"Incomplete details",'Price Calculations'!AA44))</f>
        <v>92.661799999999985</v>
      </c>
    </row>
    <row r="30" spans="1:21" ht="15" customHeight="1" x14ac:dyDescent="0.2">
      <c r="B30" s="49" t="s">
        <v>109</v>
      </c>
      <c r="C30" s="50" t="s">
        <v>342</v>
      </c>
      <c r="D30" s="50" t="s">
        <v>239</v>
      </c>
      <c r="E30" s="50" t="s">
        <v>56</v>
      </c>
      <c r="F30" s="50" t="s">
        <v>57</v>
      </c>
      <c r="G30" s="137" t="s">
        <v>195</v>
      </c>
      <c r="H30" s="137" t="s">
        <v>113</v>
      </c>
      <c r="I30" s="70" t="s">
        <v>266</v>
      </c>
      <c r="J30" s="50" t="s">
        <v>35</v>
      </c>
      <c r="K30" s="148">
        <v>1</v>
      </c>
      <c r="L30" s="50" t="s">
        <v>113</v>
      </c>
      <c r="M30" s="210" t="s">
        <v>311</v>
      </c>
      <c r="N30" s="49">
        <f ca="1">IF(ISNA('Price Calculations'!Z45),"",ROUND('Price Calculations'!Z45,2))</f>
        <v>51.52</v>
      </c>
      <c r="O30" s="199">
        <f ca="1">IF(C16="","",IF(ISNA('Price Calculations'!AA45),"Incomplete details",'Price Calculations'!AA45))</f>
        <v>51.520699999999998</v>
      </c>
    </row>
    <row r="31" spans="1:21" ht="15" customHeight="1" x14ac:dyDescent="0.2">
      <c r="B31" s="8" t="s">
        <v>110</v>
      </c>
      <c r="C31" s="12" t="s">
        <v>342</v>
      </c>
      <c r="D31" s="12" t="s">
        <v>239</v>
      </c>
      <c r="E31" s="12" t="s">
        <v>56</v>
      </c>
      <c r="F31" s="12" t="s">
        <v>57</v>
      </c>
      <c r="G31" s="136" t="s">
        <v>195</v>
      </c>
      <c r="H31" s="136" t="s">
        <v>113</v>
      </c>
      <c r="I31" s="69" t="s">
        <v>266</v>
      </c>
      <c r="J31" s="12" t="s">
        <v>35</v>
      </c>
      <c r="K31" s="141">
        <v>1</v>
      </c>
      <c r="L31" s="12" t="s">
        <v>113</v>
      </c>
      <c r="M31" s="207" t="s">
        <v>311</v>
      </c>
      <c r="N31" s="8">
        <f ca="1">IF(ISNA('Price Calculations'!Z46),"",ROUND('Price Calculations'!Z46,2))</f>
        <v>57.93</v>
      </c>
      <c r="O31" s="213">
        <f ca="1">IF(C17="","",IF(ISNA('Price Calculations'!AA46),"Incomplete details",'Price Calculations'!AA46))</f>
        <v>57.927099999999996</v>
      </c>
    </row>
    <row r="32" spans="1:21" ht="15" customHeight="1" x14ac:dyDescent="0.2">
      <c r="B32" s="49" t="s">
        <v>111</v>
      </c>
      <c r="C32" s="50" t="s">
        <v>342</v>
      </c>
      <c r="D32" s="50" t="s">
        <v>239</v>
      </c>
      <c r="E32" s="50" t="s">
        <v>56</v>
      </c>
      <c r="F32" s="50" t="s">
        <v>57</v>
      </c>
      <c r="G32" s="137" t="s">
        <v>195</v>
      </c>
      <c r="H32" s="137" t="s">
        <v>113</v>
      </c>
      <c r="I32" s="70" t="s">
        <v>266</v>
      </c>
      <c r="J32" s="50" t="s">
        <v>35</v>
      </c>
      <c r="K32" s="148">
        <v>1</v>
      </c>
      <c r="L32" s="50" t="s">
        <v>113</v>
      </c>
      <c r="M32" s="210" t="s">
        <v>311</v>
      </c>
      <c r="N32" s="49">
        <f ca="1">IF(ISNA('Price Calculations'!Z47),"",ROUND('Price Calculations'!Z47,2))</f>
        <v>77.62</v>
      </c>
      <c r="O32" s="199">
        <f ca="1">IF(C18="","",IF(ISNA('Price Calculations'!AA47),"Incomplete details",'Price Calculations'!AA47))</f>
        <v>77.623699999999999</v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3" t="s">
        <v>64</v>
      </c>
      <c r="C35" s="224"/>
      <c r="D35" s="224"/>
      <c r="E35" s="224"/>
      <c r="F35" s="224"/>
      <c r="G35" s="224"/>
      <c r="H35" s="223" t="str">
        <f>IF(DeliverAddress="Alternative","Alternative Address","")</f>
        <v/>
      </c>
      <c r="I35" s="230"/>
      <c r="J35" s="146" t="s">
        <v>255</v>
      </c>
      <c r="K35" s="214"/>
      <c r="L35" t="str">
        <f>IF(L36&lt;&gt;" ","Extras","")</f>
        <v/>
      </c>
      <c r="M35" s="231"/>
      <c r="N35" s="231"/>
      <c r="O35" s="215">
        <f>'Price Calculations'!D54</f>
        <v>0</v>
      </c>
      <c r="P35" s="204"/>
    </row>
    <row r="36" spans="2:16" x14ac:dyDescent="0.2">
      <c r="B36" s="306" t="s">
        <v>356</v>
      </c>
      <c r="C36" s="225"/>
      <c r="D36" s="225"/>
      <c r="E36" s="225"/>
      <c r="F36" s="225"/>
      <c r="G36" s="225"/>
      <c r="H36" s="225"/>
      <c r="I36" s="225"/>
      <c r="J36" s="149"/>
      <c r="K36" s="201"/>
      <c r="L36" s="145" t="str">
        <f>'Price Calculations'!Z59</f>
        <v xml:space="preserve"> </v>
      </c>
      <c r="M36" s="234" t="s">
        <v>256</v>
      </c>
      <c r="N36" s="235"/>
      <c r="O36" s="202">
        <f ca="1">'Price Calculations'!X60</f>
        <v>0</v>
      </c>
      <c r="P36" s="204"/>
    </row>
    <row r="37" spans="2:16" x14ac:dyDescent="0.2">
      <c r="B37" s="226"/>
      <c r="C37" s="227"/>
      <c r="D37" s="227"/>
      <c r="E37" s="227"/>
      <c r="F37" s="227"/>
      <c r="G37" s="227"/>
      <c r="H37" s="227"/>
      <c r="I37" s="227"/>
      <c r="J37" s="150"/>
      <c r="K37" s="201"/>
      <c r="L37" s="145"/>
      <c r="M37" s="236" t="s">
        <v>117</v>
      </c>
      <c r="N37" s="237"/>
      <c r="O37" s="205">
        <f ca="1">'Price Calculations'!X61</f>
        <v>0</v>
      </c>
      <c r="P37" s="204"/>
    </row>
    <row r="38" spans="2:16" ht="13.5" thickBot="1" x14ac:dyDescent="0.25">
      <c r="B38" s="226"/>
      <c r="C38" s="227"/>
      <c r="D38" s="227"/>
      <c r="E38" s="227"/>
      <c r="F38" s="227"/>
      <c r="G38" s="227"/>
      <c r="H38" s="227"/>
      <c r="I38" s="227"/>
      <c r="J38" s="150"/>
      <c r="K38" s="201"/>
      <c r="L38" s="145"/>
      <c r="M38" s="232" t="str">
        <f>IF('Price Calculations'!X59&gt;0,"Extras","")</f>
        <v/>
      </c>
      <c r="N38" s="233"/>
      <c r="O38" s="205">
        <f>'Price Calculations'!X59</f>
        <v>0</v>
      </c>
      <c r="P38" s="204"/>
    </row>
    <row r="39" spans="2:16" x14ac:dyDescent="0.2">
      <c r="B39" s="226"/>
      <c r="C39" s="227"/>
      <c r="D39" s="227"/>
      <c r="E39" s="227"/>
      <c r="F39" s="227"/>
      <c r="G39" s="227"/>
      <c r="H39" s="227"/>
      <c r="I39" s="227"/>
      <c r="J39" s="150"/>
      <c r="K39" s="201"/>
      <c r="L39" s="145"/>
      <c r="M39" s="221" t="s">
        <v>62</v>
      </c>
      <c r="N39" s="222"/>
      <c r="O39" s="202">
        <f ca="1">IF(OR(O24="POA",O25="POA",O26="POA",O27="POA",O28="POA",O29="POA",O30="POA",O31="POA",O32="POA",O33="POA",O35="POA"),"POA",'Price Calculations'!X66+O35+O38)</f>
        <v>777.87</v>
      </c>
      <c r="P39" s="216"/>
    </row>
    <row r="40" spans="2:16" x14ac:dyDescent="0.2">
      <c r="B40" s="226"/>
      <c r="C40" s="227"/>
      <c r="D40" s="227"/>
      <c r="E40" s="227"/>
      <c r="F40" s="227"/>
      <c r="G40" s="227"/>
      <c r="H40" s="227"/>
      <c r="I40" s="227"/>
      <c r="J40" s="150"/>
      <c r="K40" s="201"/>
      <c r="L40" s="145"/>
      <c r="M40" s="221" t="s">
        <v>346</v>
      </c>
      <c r="N40" s="222"/>
      <c r="O40" s="205">
        <f ca="1">IF(O35="POA","POA",ROUND(O39*VAT_Rate,2))</f>
        <v>0</v>
      </c>
      <c r="P40" s="204"/>
    </row>
    <row r="41" spans="2:16" ht="13.5" thickBot="1" x14ac:dyDescent="0.25">
      <c r="B41" s="228"/>
      <c r="C41" s="229"/>
      <c r="D41" s="229"/>
      <c r="E41" s="229"/>
      <c r="F41" s="229"/>
      <c r="G41" s="229"/>
      <c r="H41" s="229"/>
      <c r="I41" s="229"/>
      <c r="J41" s="151"/>
      <c r="K41" s="201"/>
      <c r="L41" s="51"/>
      <c r="M41" s="219" t="s">
        <v>63</v>
      </c>
      <c r="N41" s="220"/>
      <c r="O41" s="203">
        <f ca="1">IF(ISNA(O35),"Incomplete details",IF(O35="POA","POA",SUM(O39:P40)))</f>
        <v>777.87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10.692799999999998</v>
      </c>
      <c r="B1" s="17" t="str">
        <f>'Price Calculations'!D1</f>
        <v>Trade</v>
      </c>
      <c r="C1" s="53"/>
      <c r="D1" s="243" t="str">
        <f ca="1">IF(TODAY()&lt;40589,"This Form is Not Valid until 15th Feb","The PureWood Order Form")</f>
        <v>The PureWood Order Form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1" t="str">
        <f>Dealer_Name</f>
        <v>CP Interiors</v>
      </c>
      <c r="F2" s="252"/>
      <c r="G2" s="253"/>
      <c r="H2" s="31"/>
      <c r="I2" s="32" t="s">
        <v>103</v>
      </c>
      <c r="J2" s="239" t="str">
        <f>Dealer_Order_No</f>
        <v>SO8707</v>
      </c>
      <c r="K2" s="240"/>
      <c r="L2" s="31"/>
      <c r="M2" s="32" t="s">
        <v>104</v>
      </c>
      <c r="N2" s="244">
        <f>SC_Order_No</f>
        <v>0</v>
      </c>
      <c r="O2" s="245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4" t="str">
        <f>SC_ACno</f>
        <v>CPSUN</v>
      </c>
      <c r="F4" s="250"/>
      <c r="G4" s="245"/>
      <c r="H4" s="29"/>
      <c r="I4" s="38" t="s">
        <v>105</v>
      </c>
      <c r="J4" s="241" t="str">
        <f>Customer_Name</f>
        <v>GOLLOP</v>
      </c>
      <c r="K4" s="242"/>
      <c r="L4" s="34"/>
      <c r="M4" s="32" t="s">
        <v>106</v>
      </c>
      <c r="N4" s="246">
        <f>Order_Date</f>
        <v>0</v>
      </c>
      <c r="O4" s="245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4"/>
      <c r="L5" s="254"/>
      <c r="M5" s="254"/>
      <c r="N5" s="254"/>
      <c r="O5" s="41"/>
      <c r="P5" s="5"/>
    </row>
    <row r="6" spans="1:20" ht="15.75" customHeight="1" thickBot="1" x14ac:dyDescent="0.25">
      <c r="A6" s="238" t="s">
        <v>119</v>
      </c>
      <c r="B6" s="238"/>
      <c r="C6" s="238"/>
      <c r="D6" s="42" t="s">
        <v>97</v>
      </c>
      <c r="E6" s="247" t="str">
        <f>WoodType</f>
        <v>PureWood Blinds</v>
      </c>
      <c r="F6" s="248"/>
      <c r="G6" s="249"/>
      <c r="H6" s="43"/>
      <c r="I6" s="42" t="s">
        <v>61</v>
      </c>
      <c r="J6" s="241" t="str">
        <f>DeliveryChoice</f>
        <v>Standard (air)</v>
      </c>
      <c r="K6" s="242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>
        <f>'Order Form'!C9</f>
        <v>0</v>
      </c>
      <c r="D9" s="12">
        <f>'Order Form'!D9</f>
        <v>0</v>
      </c>
      <c r="E9" s="12">
        <f>'Order Form'!E9</f>
        <v>0</v>
      </c>
      <c r="F9" s="12">
        <f>'Order Form'!F9</f>
        <v>0</v>
      </c>
      <c r="G9" s="12">
        <f>'Order Form'!G9</f>
        <v>0</v>
      </c>
      <c r="H9" s="12">
        <f>'Order Form'!H9</f>
        <v>0</v>
      </c>
      <c r="I9" s="12">
        <f>'Order Form'!I9</f>
        <v>0</v>
      </c>
      <c r="J9" s="55">
        <f>'Order Form'!J9</f>
        <v>0</v>
      </c>
      <c r="K9" s="12">
        <f>'Order Form'!L9</f>
        <v>0</v>
      </c>
      <c r="L9" s="12">
        <f>'Order Form'!O9</f>
        <v>0</v>
      </c>
      <c r="M9" s="12">
        <f>'Order Form'!K9</f>
        <v>0</v>
      </c>
      <c r="N9" s="12">
        <f>'Order Form'!M9</f>
        <v>0</v>
      </c>
      <c r="O9" s="120">
        <f>'Order Form'!N9</f>
        <v>0</v>
      </c>
    </row>
    <row r="10" spans="1:20" ht="15" customHeight="1" x14ac:dyDescent="0.2">
      <c r="B10" s="9" t="s">
        <v>3</v>
      </c>
      <c r="C10" s="117" t="str">
        <f>'Order Form'!C10</f>
        <v>UTILITY</v>
      </c>
      <c r="D10" s="13">
        <f>'Order Form'!D10</f>
        <v>1</v>
      </c>
      <c r="E10" s="13" t="str">
        <f>'Order Form'!E10</f>
        <v>50.8mm</v>
      </c>
      <c r="F10" s="13">
        <f>'Order Form'!F10</f>
        <v>0</v>
      </c>
      <c r="G10" s="13" t="str">
        <f>'Order Form'!G10</f>
        <v>OM</v>
      </c>
      <c r="H10" s="13">
        <f>'Order Form'!H10</f>
        <v>1130</v>
      </c>
      <c r="I10" s="13">
        <f>'Order Form'!I10</f>
        <v>1040</v>
      </c>
      <c r="J10" s="56">
        <f>'Order Form'!J10</f>
        <v>1.1752</v>
      </c>
      <c r="K10" s="13" t="str">
        <f>'Order Form'!L10</f>
        <v>Default</v>
      </c>
      <c r="L10" s="13" t="str">
        <f>'Order Form'!O10</f>
        <v>T002A Ivory</v>
      </c>
      <c r="M10" s="13" t="str">
        <f>'Order Form'!K10</f>
        <v>CT</v>
      </c>
      <c r="N10" s="13" t="str">
        <f>'Order Form'!M10</f>
        <v>Default</v>
      </c>
      <c r="O10" s="121" t="str">
        <f>'Order Form'!N10</f>
        <v>Not Required</v>
      </c>
    </row>
    <row r="11" spans="1:20" ht="15" customHeight="1" x14ac:dyDescent="0.2">
      <c r="B11" s="10" t="s">
        <v>4</v>
      </c>
      <c r="C11" s="118" t="str">
        <f>'Order Form'!C11</f>
        <v>BEDROOM 4</v>
      </c>
      <c r="D11" s="14">
        <f>'Order Form'!D11</f>
        <v>1</v>
      </c>
      <c r="E11" s="14" t="str">
        <f>'Order Form'!E11</f>
        <v>50.8mm</v>
      </c>
      <c r="F11" s="14">
        <f>'Order Form'!F11</f>
        <v>0</v>
      </c>
      <c r="G11" s="14" t="str">
        <f>'Order Form'!G11</f>
        <v>OM</v>
      </c>
      <c r="H11" s="14">
        <f>'Order Form'!H11</f>
        <v>1150</v>
      </c>
      <c r="I11" s="14">
        <f>'Order Form'!I11</f>
        <v>1120</v>
      </c>
      <c r="J11" s="57">
        <f>'Order Form'!J11</f>
        <v>1.288</v>
      </c>
      <c r="K11" s="14" t="str">
        <f>'Order Form'!L11</f>
        <v>Default</v>
      </c>
      <c r="L11" s="14" t="str">
        <f>'Order Form'!O11</f>
        <v>T002A Ivory</v>
      </c>
      <c r="M11" s="14" t="str">
        <f>'Order Form'!K11</f>
        <v>CT</v>
      </c>
      <c r="N11" s="14" t="str">
        <f>'Order Form'!M11</f>
        <v>Default</v>
      </c>
      <c r="O11" s="122" t="str">
        <f>'Order Form'!N11</f>
        <v>Not Required</v>
      </c>
    </row>
    <row r="12" spans="1:20" s="6" customFormat="1" ht="15" customHeight="1" x14ac:dyDescent="0.2">
      <c r="A12"/>
      <c r="B12" s="9" t="s">
        <v>5</v>
      </c>
      <c r="C12" s="117" t="str">
        <f>'Order Form'!C12</f>
        <v>BEDROOM 3</v>
      </c>
      <c r="D12" s="13">
        <f>'Order Form'!D12</f>
        <v>1</v>
      </c>
      <c r="E12" s="13" t="str">
        <f>'Order Form'!E12</f>
        <v>50.8mm</v>
      </c>
      <c r="F12" s="13">
        <f>'Order Form'!F12</f>
        <v>0</v>
      </c>
      <c r="G12" s="13" t="str">
        <f>'Order Form'!G12</f>
        <v>OM</v>
      </c>
      <c r="H12" s="13">
        <f>'Order Form'!H12</f>
        <v>1135</v>
      </c>
      <c r="I12" s="13">
        <f>'Order Form'!I12</f>
        <v>1130</v>
      </c>
      <c r="J12" s="56">
        <f>'Order Form'!J12</f>
        <v>1.2825500000000001</v>
      </c>
      <c r="K12" s="13" t="str">
        <f>'Order Form'!L12</f>
        <v>Default</v>
      </c>
      <c r="L12" s="13" t="str">
        <f>'Order Form'!O12</f>
        <v>T002A Ivory</v>
      </c>
      <c r="M12" s="13" t="str">
        <f>'Order Form'!K12</f>
        <v>CT</v>
      </c>
      <c r="N12" s="13" t="str">
        <f>'Order Form'!M12</f>
        <v>Default</v>
      </c>
      <c r="O12" s="121" t="str">
        <f>'Order Form'!N12</f>
        <v>Not Required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 t="str">
        <f>'Order Form'!C13</f>
        <v>BEDROOM 2</v>
      </c>
      <c r="D13" s="12">
        <f>'Order Form'!D13</f>
        <v>1</v>
      </c>
      <c r="E13" s="12" t="str">
        <f>'Order Form'!E13</f>
        <v>50.8mm</v>
      </c>
      <c r="F13" s="12">
        <f>'Order Form'!F13</f>
        <v>0</v>
      </c>
      <c r="G13" s="12" t="str">
        <f>'Order Form'!G13</f>
        <v>OM</v>
      </c>
      <c r="H13" s="12">
        <f>'Order Form'!H13</f>
        <v>1140</v>
      </c>
      <c r="I13" s="12">
        <f>'Order Form'!I13</f>
        <v>1130</v>
      </c>
      <c r="J13" s="55">
        <f>'Order Form'!J13</f>
        <v>1.2882</v>
      </c>
      <c r="K13" s="12" t="str">
        <f>'Order Form'!L13</f>
        <v>Default</v>
      </c>
      <c r="L13" s="12" t="str">
        <f>'Order Form'!O13</f>
        <v>T002A Ivory</v>
      </c>
      <c r="M13" s="12" t="str">
        <f>'Order Form'!K13</f>
        <v>CT</v>
      </c>
      <c r="N13" s="12" t="str">
        <f>'Order Form'!M13</f>
        <v>Default</v>
      </c>
      <c r="O13" s="120" t="str">
        <f>'Order Form'!N13</f>
        <v>Not Required</v>
      </c>
    </row>
    <row r="14" spans="1:20" s="6" customFormat="1" ht="15" customHeight="1" x14ac:dyDescent="0.2">
      <c r="A14"/>
      <c r="B14" s="49" t="s">
        <v>107</v>
      </c>
      <c r="C14" s="117" t="str">
        <f>'Order Form'!C14</f>
        <v>BEDROOM 1</v>
      </c>
      <c r="D14" s="50">
        <f>'Order Form'!D14</f>
        <v>1</v>
      </c>
      <c r="E14" s="50" t="str">
        <f>'Order Form'!E14</f>
        <v>50.8mm</v>
      </c>
      <c r="F14" s="50">
        <f>'Order Form'!F14</f>
        <v>0</v>
      </c>
      <c r="G14" s="50" t="str">
        <f>'Order Form'!G14</f>
        <v>OM</v>
      </c>
      <c r="H14" s="50">
        <f>'Order Form'!H14</f>
        <v>1740</v>
      </c>
      <c r="I14" s="50">
        <f>'Order Form'!I14</f>
        <v>1140</v>
      </c>
      <c r="J14" s="58">
        <f>'Order Form'!J14</f>
        <v>1.9836</v>
      </c>
      <c r="K14" s="50" t="str">
        <f>'Order Form'!L14</f>
        <v>Default</v>
      </c>
      <c r="L14" s="50" t="str">
        <f>'Order Form'!O14</f>
        <v>T002A Ivory</v>
      </c>
      <c r="M14" s="50" t="str">
        <f>'Order Form'!K14</f>
        <v>CT</v>
      </c>
      <c r="N14" s="50" t="str">
        <f>'Order Form'!M14</f>
        <v>Default</v>
      </c>
      <c r="O14" s="121" t="str">
        <f>'Order Form'!N14</f>
        <v>Not Required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 t="str">
        <f>'Order Form'!C15</f>
        <v>BEDROOM 1</v>
      </c>
      <c r="D15" s="14">
        <f>'Order Form'!D15</f>
        <v>1</v>
      </c>
      <c r="E15" s="14" t="str">
        <f>'Order Form'!E15</f>
        <v>50.8mm</v>
      </c>
      <c r="F15" s="14">
        <f>'Order Form'!F15</f>
        <v>0</v>
      </c>
      <c r="G15" s="14" t="str">
        <f>'Order Form'!G15</f>
        <v>OM</v>
      </c>
      <c r="H15" s="14">
        <f>'Order Form'!H15</f>
        <v>1140</v>
      </c>
      <c r="I15" s="14">
        <f>'Order Form'!I15</f>
        <v>1130</v>
      </c>
      <c r="J15" s="57">
        <f>'Order Form'!J15</f>
        <v>1.2882</v>
      </c>
      <c r="K15" s="14" t="str">
        <f>'Order Form'!L15</f>
        <v>Default</v>
      </c>
      <c r="L15" s="14" t="str">
        <f>'Order Form'!O15</f>
        <v>T002A Ivory</v>
      </c>
      <c r="M15" s="14" t="str">
        <f>'Order Form'!K15</f>
        <v>CT</v>
      </c>
      <c r="N15" s="14" t="str">
        <f>'Order Form'!M15</f>
        <v>Default</v>
      </c>
      <c r="O15" s="122" t="str">
        <f>'Order Form'!N15</f>
        <v>Not Required</v>
      </c>
    </row>
    <row r="16" spans="1:20" s="6" customFormat="1" ht="15" customHeight="1" x14ac:dyDescent="0.2">
      <c r="A16"/>
      <c r="B16" s="49" t="s">
        <v>109</v>
      </c>
      <c r="C16" s="117" t="str">
        <f>'Order Form'!C16</f>
        <v>ENSUIT</v>
      </c>
      <c r="D16" s="50">
        <f>'Order Form'!D16</f>
        <v>1</v>
      </c>
      <c r="E16" s="50" t="str">
        <f>'Order Form'!E16</f>
        <v>50.8mm</v>
      </c>
      <c r="F16" s="50">
        <f>'Order Form'!F16</f>
        <v>0</v>
      </c>
      <c r="G16" s="50" t="str">
        <f>'Order Form'!G16</f>
        <v>OM</v>
      </c>
      <c r="H16" s="50">
        <f>'Order Form'!H16</f>
        <v>610</v>
      </c>
      <c r="I16" s="50">
        <f>'Order Form'!I16</f>
        <v>1120</v>
      </c>
      <c r="J16" s="58">
        <f>'Order Form'!J16</f>
        <v>0.68320000000000003</v>
      </c>
      <c r="K16" s="50" t="str">
        <f>'Order Form'!L16</f>
        <v>Default</v>
      </c>
      <c r="L16" s="50" t="str">
        <f>'Order Form'!O16</f>
        <v>T002A Ivory</v>
      </c>
      <c r="M16" s="50" t="str">
        <f>'Order Form'!K16</f>
        <v>CT</v>
      </c>
      <c r="N16" s="50" t="str">
        <f>'Order Form'!M16</f>
        <v>Default</v>
      </c>
      <c r="O16" s="121" t="str">
        <f>'Order Form'!N16</f>
        <v>Not Required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 t="str">
        <f>'Order Form'!C17</f>
        <v>ENSUIT</v>
      </c>
      <c r="D17" s="12">
        <f>'Order Form'!D17</f>
        <v>1</v>
      </c>
      <c r="E17" s="12" t="str">
        <f>'Order Form'!E17</f>
        <v>50.8mm</v>
      </c>
      <c r="F17" s="12">
        <f>'Order Form'!F17</f>
        <v>0</v>
      </c>
      <c r="G17" s="12" t="str">
        <f>'Order Form'!G17</f>
        <v>OM</v>
      </c>
      <c r="H17" s="12">
        <f>'Order Form'!H17</f>
        <v>620</v>
      </c>
      <c r="I17" s="12">
        <f>'Order Form'!I17</f>
        <v>1110</v>
      </c>
      <c r="J17" s="55">
        <f>'Order Form'!J17</f>
        <v>0.68820000000000003</v>
      </c>
      <c r="K17" s="12" t="str">
        <f>'Order Form'!L17</f>
        <v>Default</v>
      </c>
      <c r="L17" s="12" t="str">
        <f>'Order Form'!O17</f>
        <v>T002A Ivory</v>
      </c>
      <c r="M17" s="12" t="str">
        <f>'Order Form'!K17</f>
        <v>CT</v>
      </c>
      <c r="N17" s="12" t="str">
        <f>'Order Form'!M17</f>
        <v>Default</v>
      </c>
      <c r="O17" s="120" t="str">
        <f>'Order Form'!N17</f>
        <v>Not Required</v>
      </c>
    </row>
    <row r="18" spans="1:20" s="6" customFormat="1" ht="15" customHeight="1" x14ac:dyDescent="0.2">
      <c r="A18"/>
      <c r="B18" s="49" t="s">
        <v>111</v>
      </c>
      <c r="C18" s="117" t="str">
        <f>'Order Form'!C18</f>
        <v>BATHROOM</v>
      </c>
      <c r="D18" s="50">
        <f>'Order Form'!D18</f>
        <v>1</v>
      </c>
      <c r="E18" s="50" t="str">
        <f>'Order Form'!E18</f>
        <v>50.8mm</v>
      </c>
      <c r="F18" s="50">
        <f>'Order Form'!F18</f>
        <v>0</v>
      </c>
      <c r="G18" s="50" t="str">
        <f>'Order Form'!G18</f>
        <v>OM</v>
      </c>
      <c r="H18" s="50">
        <f>'Order Form'!H18</f>
        <v>915</v>
      </c>
      <c r="I18" s="50">
        <f>'Order Form'!I18</f>
        <v>1110</v>
      </c>
      <c r="J18" s="58">
        <f>'Order Form'!J18</f>
        <v>1.0156499999999999</v>
      </c>
      <c r="K18" s="50" t="str">
        <f>'Order Form'!L18</f>
        <v>Default</v>
      </c>
      <c r="L18" s="50" t="str">
        <f>'Order Form'!O18</f>
        <v>T002A Ivory</v>
      </c>
      <c r="M18" s="50" t="str">
        <f>'Order Form'!K18</f>
        <v>CT</v>
      </c>
      <c r="N18" s="50" t="str">
        <f>'Order Form'!M18</f>
        <v>Default</v>
      </c>
      <c r="O18" s="121" t="str">
        <f>'Order Form'!N18</f>
        <v>Not Required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10.692799999999998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>
        <f>'Order Form'!C23</f>
        <v>0</v>
      </c>
      <c r="D23" s="12">
        <f>'Order Form'!D23</f>
        <v>0</v>
      </c>
      <c r="E23" s="12">
        <f>'Order Form'!E23</f>
        <v>0</v>
      </c>
      <c r="F23" s="12">
        <f>'Order Form'!F23</f>
        <v>0</v>
      </c>
      <c r="G23" s="163">
        <f>'Order Form'!G23</f>
        <v>0</v>
      </c>
      <c r="H23" s="163">
        <f>'Order Form'!H23</f>
        <v>0</v>
      </c>
      <c r="I23" s="69">
        <f>'Order Form'!I23</f>
        <v>0</v>
      </c>
      <c r="J23" s="12">
        <f>'Order Form'!J23</f>
        <v>0</v>
      </c>
      <c r="K23" s="120">
        <f>'Order Form'!K23</f>
        <v>0</v>
      </c>
    </row>
    <row r="24" spans="1:20" ht="15" customHeight="1" x14ac:dyDescent="0.2">
      <c r="B24" s="9" t="s">
        <v>3</v>
      </c>
      <c r="C24" s="13" t="str">
        <f>'Order Form'!C24</f>
        <v>P101 Gray</v>
      </c>
      <c r="D24" s="13" t="str">
        <f>'Order Form'!D24</f>
        <v>None</v>
      </c>
      <c r="E24" s="13" t="str">
        <f>'Order Form'!E24</f>
        <v>Left</v>
      </c>
      <c r="F24" s="13" t="str">
        <f>'Order Form'!F24</f>
        <v>Right</v>
      </c>
      <c r="G24" s="164" t="str">
        <f>'Order Form'!G24</f>
        <v>63.5mm Ramp</v>
      </c>
      <c r="H24" s="164" t="str">
        <f>'Order Form'!H24</f>
        <v>Standard</v>
      </c>
      <c r="I24" s="70" t="str">
        <f>'Order Form'!I24</f>
        <v>Olive</v>
      </c>
      <c r="J24" s="13" t="str">
        <f>'Order Form'!J24</f>
        <v>No</v>
      </c>
      <c r="K24" s="121">
        <f>'Order Form'!K24</f>
        <v>1</v>
      </c>
    </row>
    <row r="25" spans="1:20" ht="15" customHeight="1" x14ac:dyDescent="0.2">
      <c r="B25" s="10" t="s">
        <v>4</v>
      </c>
      <c r="C25" s="14" t="str">
        <f>'Order Form'!C25</f>
        <v>P101 Gray</v>
      </c>
      <c r="D25" s="14" t="str">
        <f>'Order Form'!D25</f>
        <v>Long - 76mm</v>
      </c>
      <c r="E25" s="14" t="str">
        <f>'Order Form'!E25</f>
        <v>Left</v>
      </c>
      <c r="F25" s="14" t="str">
        <f>'Order Form'!F25</f>
        <v>Right</v>
      </c>
      <c r="G25" s="165" t="str">
        <f>'Order Form'!G25</f>
        <v>63.5mm Ramp</v>
      </c>
      <c r="H25" s="165" t="str">
        <f>'Order Form'!H25</f>
        <v>Standard</v>
      </c>
      <c r="I25" s="71" t="str">
        <f>'Order Form'!I25</f>
        <v>Olive</v>
      </c>
      <c r="J25" s="14" t="str">
        <f>'Order Form'!J25</f>
        <v>No</v>
      </c>
      <c r="K25" s="122">
        <f>'Order Form'!K25</f>
        <v>1</v>
      </c>
    </row>
    <row r="26" spans="1:20" ht="15" customHeight="1" x14ac:dyDescent="0.2">
      <c r="B26" s="9" t="s">
        <v>5</v>
      </c>
      <c r="C26" s="13" t="str">
        <f>'Order Form'!C26</f>
        <v>P101 Gray</v>
      </c>
      <c r="D26" s="13" t="str">
        <f>'Order Form'!D26</f>
        <v>None</v>
      </c>
      <c r="E26" s="13" t="str">
        <f>'Order Form'!E26</f>
        <v>Left</v>
      </c>
      <c r="F26" s="13" t="str">
        <f>'Order Form'!F26</f>
        <v>Right</v>
      </c>
      <c r="G26" s="164" t="str">
        <f>'Order Form'!G26</f>
        <v>63.5mm Ramp</v>
      </c>
      <c r="H26" s="164" t="str">
        <f>'Order Form'!H26</f>
        <v>Standard</v>
      </c>
      <c r="I26" s="70" t="str">
        <f>'Order Form'!I26</f>
        <v>Olive</v>
      </c>
      <c r="J26" s="13" t="str">
        <f>'Order Form'!J26</f>
        <v>No</v>
      </c>
      <c r="K26" s="121">
        <f>'Order Form'!K26</f>
        <v>1</v>
      </c>
    </row>
    <row r="27" spans="1:20" ht="15" customHeight="1" x14ac:dyDescent="0.2">
      <c r="B27" s="8" t="s">
        <v>6</v>
      </c>
      <c r="C27" s="12" t="str">
        <f>'Order Form'!C27</f>
        <v>P101 Gray</v>
      </c>
      <c r="D27" s="12" t="str">
        <f>'Order Form'!D27</f>
        <v>None</v>
      </c>
      <c r="E27" s="12" t="str">
        <f>'Order Form'!E27</f>
        <v>Left</v>
      </c>
      <c r="F27" s="12" t="str">
        <f>'Order Form'!F27</f>
        <v>Right</v>
      </c>
      <c r="G27" s="163" t="str">
        <f>'Order Form'!G27</f>
        <v>63.5mm Ramp</v>
      </c>
      <c r="H27" s="163" t="str">
        <f>'Order Form'!H27</f>
        <v>Standard</v>
      </c>
      <c r="I27" s="69" t="str">
        <f>'Order Form'!I27</f>
        <v>Olive</v>
      </c>
      <c r="J27" s="12" t="str">
        <f>'Order Form'!J27</f>
        <v>No</v>
      </c>
      <c r="K27" s="120">
        <f>'Order Form'!K27</f>
        <v>1</v>
      </c>
    </row>
    <row r="28" spans="1:20" ht="15" customHeight="1" x14ac:dyDescent="0.2">
      <c r="B28" s="49" t="s">
        <v>107</v>
      </c>
      <c r="C28" s="50" t="str">
        <f>'Order Form'!C28</f>
        <v>P101 Gray</v>
      </c>
      <c r="D28" s="50" t="str">
        <f>'Order Form'!D28</f>
        <v>None</v>
      </c>
      <c r="E28" s="50" t="str">
        <f>'Order Form'!E28</f>
        <v>Left</v>
      </c>
      <c r="F28" s="50" t="str">
        <f>'Order Form'!F28</f>
        <v>Right</v>
      </c>
      <c r="G28" s="164" t="str">
        <f>'Order Form'!G28</f>
        <v>63.5mm Ramp</v>
      </c>
      <c r="H28" s="164" t="str">
        <f>'Order Form'!H28</f>
        <v>Standard</v>
      </c>
      <c r="I28" s="70" t="str">
        <f>'Order Form'!I28</f>
        <v>Olive</v>
      </c>
      <c r="J28" s="50" t="str">
        <f>'Order Form'!J28</f>
        <v>No</v>
      </c>
      <c r="K28" s="121">
        <f>'Order Form'!K28</f>
        <v>1</v>
      </c>
    </row>
    <row r="29" spans="1:20" ht="15" customHeight="1" x14ac:dyDescent="0.2">
      <c r="B29" s="10" t="s">
        <v>108</v>
      </c>
      <c r="C29" s="14" t="str">
        <f>'Order Form'!C29</f>
        <v>P101 Gray</v>
      </c>
      <c r="D29" s="14" t="str">
        <f>'Order Form'!D29</f>
        <v>None</v>
      </c>
      <c r="E29" s="14" t="str">
        <f>'Order Form'!E29</f>
        <v>Left</v>
      </c>
      <c r="F29" s="14" t="str">
        <f>'Order Form'!F29</f>
        <v>Right</v>
      </c>
      <c r="G29" s="165" t="str">
        <f>'Order Form'!G29</f>
        <v>63.5mm Ramp</v>
      </c>
      <c r="H29" s="165" t="str">
        <f>'Order Form'!H29</f>
        <v>Standard</v>
      </c>
      <c r="I29" s="71" t="str">
        <f>'Order Form'!I29</f>
        <v>Olive</v>
      </c>
      <c r="J29" s="14" t="str">
        <f>'Order Form'!J29</f>
        <v>No</v>
      </c>
      <c r="K29" s="122">
        <f>'Order Form'!K29</f>
        <v>1</v>
      </c>
    </row>
    <row r="30" spans="1:20" ht="15" customHeight="1" x14ac:dyDescent="0.2">
      <c r="B30" s="49" t="s">
        <v>109</v>
      </c>
      <c r="C30" s="50" t="str">
        <f>'Order Form'!C30</f>
        <v>P101 Gray</v>
      </c>
      <c r="D30" s="50" t="str">
        <f>'Order Form'!D30</f>
        <v>None</v>
      </c>
      <c r="E30" s="50" t="str">
        <f>'Order Form'!E30</f>
        <v>Left</v>
      </c>
      <c r="F30" s="50" t="str">
        <f>'Order Form'!F30</f>
        <v>Right</v>
      </c>
      <c r="G30" s="164" t="str">
        <f>'Order Form'!G30</f>
        <v>63.5mm Ramp</v>
      </c>
      <c r="H30" s="164" t="str">
        <f>'Order Form'!H30</f>
        <v>Standard</v>
      </c>
      <c r="I30" s="70" t="str">
        <f>'Order Form'!I30</f>
        <v>Olive</v>
      </c>
      <c r="J30" s="50" t="str">
        <f>'Order Form'!J30</f>
        <v>No</v>
      </c>
      <c r="K30" s="121">
        <f>'Order Form'!K30</f>
        <v>1</v>
      </c>
    </row>
    <row r="31" spans="1:20" ht="15" customHeight="1" x14ac:dyDescent="0.2">
      <c r="B31" s="8" t="s">
        <v>110</v>
      </c>
      <c r="C31" s="12" t="str">
        <f>'Order Form'!C31</f>
        <v>P101 Gray</v>
      </c>
      <c r="D31" s="12" t="str">
        <f>'Order Form'!D31</f>
        <v>None</v>
      </c>
      <c r="E31" s="12" t="str">
        <f>'Order Form'!E31</f>
        <v>Left</v>
      </c>
      <c r="F31" s="12" t="str">
        <f>'Order Form'!F31</f>
        <v>Right</v>
      </c>
      <c r="G31" s="163" t="str">
        <f>'Order Form'!G31</f>
        <v>63.5mm Ramp</v>
      </c>
      <c r="H31" s="163" t="str">
        <f>'Order Form'!H31</f>
        <v>Standard</v>
      </c>
      <c r="I31" s="69" t="str">
        <f>'Order Form'!I31</f>
        <v>Olive</v>
      </c>
      <c r="J31" s="12" t="str">
        <f>'Order Form'!J31</f>
        <v>No</v>
      </c>
      <c r="K31" s="120">
        <f>'Order Form'!K31</f>
        <v>1</v>
      </c>
    </row>
    <row r="32" spans="1:20" ht="15" customHeight="1" x14ac:dyDescent="0.2">
      <c r="B32" s="49" t="s">
        <v>111</v>
      </c>
      <c r="C32" s="50" t="str">
        <f>'Order Form'!C32</f>
        <v>P101 Gray</v>
      </c>
      <c r="D32" s="50" t="str">
        <f>'Order Form'!D32</f>
        <v>None</v>
      </c>
      <c r="E32" s="50" t="str">
        <f>'Order Form'!E32</f>
        <v>Left</v>
      </c>
      <c r="F32" s="50" t="str">
        <f>'Order Form'!F32</f>
        <v>Right</v>
      </c>
      <c r="G32" s="164" t="str">
        <f>'Order Form'!G32</f>
        <v>63.5mm Ramp</v>
      </c>
      <c r="H32" s="164" t="str">
        <f>'Order Form'!H32</f>
        <v>Standard</v>
      </c>
      <c r="I32" s="70" t="str">
        <f>'Order Form'!I32</f>
        <v>Olive</v>
      </c>
      <c r="J32" s="50" t="str">
        <f>'Order Form'!J32</f>
        <v>No</v>
      </c>
      <c r="K32" s="121">
        <f>'Order Form'!K32</f>
        <v>1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6" t="s">
        <v>64</v>
      </c>
      <c r="C35" s="267"/>
      <c r="D35" s="267"/>
      <c r="E35" s="267"/>
      <c r="F35" s="267"/>
      <c r="G35" s="267"/>
      <c r="H35" s="267"/>
      <c r="I35" s="267" t="str">
        <f>IF(DeliverAddress="Alternative","Alternative Address","")</f>
        <v/>
      </c>
      <c r="J35" s="268"/>
      <c r="K35" t="str">
        <f>IF(K36&lt;&gt;" ","Extras","")</f>
        <v/>
      </c>
    </row>
    <row r="36" spans="2:12" x14ac:dyDescent="0.2">
      <c r="B36" s="255"/>
      <c r="C36" s="256"/>
      <c r="D36" s="256"/>
      <c r="E36" s="256"/>
      <c r="F36" s="256"/>
      <c r="G36" s="256"/>
      <c r="H36" s="256"/>
      <c r="I36" s="261"/>
      <c r="J36" s="262"/>
      <c r="K36" s="265" t="str">
        <f>'Price Calculations'!Z59</f>
        <v xml:space="preserve"> </v>
      </c>
      <c r="L36" s="63"/>
    </row>
    <row r="37" spans="2:12" x14ac:dyDescent="0.2">
      <c r="B37" s="257"/>
      <c r="C37" s="258"/>
      <c r="D37" s="258"/>
      <c r="E37" s="258"/>
      <c r="F37" s="258"/>
      <c r="G37" s="258"/>
      <c r="H37" s="258"/>
      <c r="I37" s="258"/>
      <c r="J37" s="263"/>
      <c r="K37" s="265"/>
      <c r="L37" s="63"/>
    </row>
    <row r="38" spans="2:12" x14ac:dyDescent="0.2">
      <c r="B38" s="257"/>
      <c r="C38" s="258"/>
      <c r="D38" s="258"/>
      <c r="E38" s="258"/>
      <c r="F38" s="258"/>
      <c r="G38" s="258"/>
      <c r="H38" s="258"/>
      <c r="I38" s="258"/>
      <c r="J38" s="263"/>
      <c r="K38" s="265"/>
    </row>
    <row r="39" spans="2:12" x14ac:dyDescent="0.2">
      <c r="B39" s="257"/>
      <c r="C39" s="258"/>
      <c r="D39" s="258"/>
      <c r="E39" s="258"/>
      <c r="F39" s="258"/>
      <c r="G39" s="258"/>
      <c r="H39" s="258"/>
      <c r="I39" s="258"/>
      <c r="J39" s="263"/>
      <c r="K39" s="265"/>
    </row>
    <row r="40" spans="2:12" ht="13.5" thickBot="1" x14ac:dyDescent="0.25">
      <c r="B40" s="259"/>
      <c r="C40" s="260"/>
      <c r="D40" s="260"/>
      <c r="E40" s="260"/>
      <c r="F40" s="260"/>
      <c r="G40" s="260"/>
      <c r="H40" s="260"/>
      <c r="I40" s="260"/>
      <c r="J40" s="264"/>
      <c r="K40" s="265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69" t="str">
        <f>Dealer_Name</f>
        <v>CP Interiors</v>
      </c>
      <c r="C3" s="270"/>
      <c r="D3" s="270"/>
      <c r="E3" s="270"/>
      <c r="F3" s="270"/>
      <c r="G3" s="270"/>
      <c r="H3" s="271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4"/>
      <c r="H5" s="275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4" t="str">
        <f>SC_ACno</f>
        <v>CPSUN</v>
      </c>
      <c r="H7" s="275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4"/>
      <c r="H9" s="275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4">
        <f>SC_Order_No</f>
        <v>0</v>
      </c>
      <c r="H11" s="275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4" t="str">
        <f>Customer_Name</f>
        <v>GOLLOP</v>
      </c>
      <c r="H13" s="275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4" t="str">
        <f>Dealer_Order_No</f>
        <v>SO8707</v>
      </c>
      <c r="H15" s="275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5" t="s">
        <v>166</v>
      </c>
      <c r="C19" s="285"/>
      <c r="D19" s="285"/>
      <c r="E19" s="285"/>
      <c r="F19" s="285" t="s">
        <v>167</v>
      </c>
      <c r="G19" s="285"/>
      <c r="H19" s="285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2"/>
      <c r="C20" s="283"/>
      <c r="D20" s="283"/>
      <c r="E20" s="283"/>
      <c r="F20" s="286"/>
      <c r="G20" s="284"/>
      <c r="H20" s="284"/>
      <c r="J20" s="290"/>
      <c r="K20" s="290"/>
      <c r="L20" s="290"/>
      <c r="M20" s="290"/>
      <c r="N20" s="290"/>
    </row>
    <row r="21" spans="1:17" ht="45" customHeight="1" x14ac:dyDescent="0.2">
      <c r="A21" s="99"/>
      <c r="B21" s="283"/>
      <c r="C21" s="283"/>
      <c r="D21" s="283"/>
      <c r="E21" s="283"/>
      <c r="F21" s="284"/>
      <c r="G21" s="284"/>
      <c r="H21" s="284"/>
      <c r="J21" s="290"/>
      <c r="K21" s="290"/>
      <c r="L21" s="290"/>
      <c r="M21" s="290"/>
      <c r="N21" s="290"/>
    </row>
    <row r="22" spans="1:17" ht="45" customHeight="1" x14ac:dyDescent="0.2">
      <c r="A22" s="99"/>
      <c r="B22" s="284"/>
      <c r="C22" s="284"/>
      <c r="D22" s="284"/>
      <c r="E22" s="284"/>
      <c r="F22" s="284"/>
      <c r="G22" s="284"/>
      <c r="H22" s="284"/>
      <c r="J22" s="290"/>
      <c r="K22" s="290"/>
      <c r="L22" s="290"/>
      <c r="M22" s="290"/>
      <c r="N22" s="290"/>
    </row>
    <row r="23" spans="1:17" ht="45" customHeight="1" x14ac:dyDescent="0.2">
      <c r="A23" s="99"/>
      <c r="B23" s="284"/>
      <c r="C23" s="284"/>
      <c r="D23" s="284"/>
      <c r="E23" s="284"/>
      <c r="F23" s="284"/>
      <c r="G23" s="284"/>
      <c r="H23" s="284"/>
      <c r="J23" s="290"/>
      <c r="K23" s="290"/>
      <c r="L23" s="290"/>
      <c r="M23" s="290"/>
      <c r="N23" s="290"/>
    </row>
    <row r="24" spans="1:17" ht="45" customHeight="1" x14ac:dyDescent="0.2">
      <c r="A24" s="99"/>
      <c r="B24" s="284"/>
      <c r="C24" s="284"/>
      <c r="D24" s="284"/>
      <c r="E24" s="284"/>
      <c r="F24" s="284"/>
      <c r="G24" s="284"/>
      <c r="H24" s="284"/>
      <c r="J24" s="290"/>
      <c r="K24" s="290"/>
      <c r="L24" s="290"/>
      <c r="M24" s="290"/>
      <c r="N24" s="290"/>
    </row>
    <row r="25" spans="1:17" ht="45" customHeight="1" x14ac:dyDescent="0.2">
      <c r="A25" s="99"/>
      <c r="B25" s="284"/>
      <c r="C25" s="284"/>
      <c r="D25" s="284"/>
      <c r="E25" s="284"/>
      <c r="F25" s="284"/>
      <c r="G25" s="284"/>
      <c r="H25" s="284"/>
      <c r="J25" s="290"/>
      <c r="K25" s="290"/>
      <c r="L25" s="290"/>
      <c r="M25" s="290"/>
      <c r="N25" s="290"/>
    </row>
    <row r="26" spans="1:17" ht="45" customHeight="1" x14ac:dyDescent="0.2">
      <c r="A26" s="99"/>
      <c r="B26" s="284"/>
      <c r="C26" s="284"/>
      <c r="D26" s="284"/>
      <c r="E26" s="284"/>
      <c r="F26" s="284"/>
      <c r="G26" s="284"/>
      <c r="H26" s="284"/>
      <c r="J26" s="290"/>
      <c r="K26" s="290"/>
      <c r="L26" s="290"/>
      <c r="M26" s="290"/>
      <c r="N26" s="290"/>
    </row>
    <row r="27" spans="1:17" ht="45" customHeight="1" x14ac:dyDescent="0.2">
      <c r="A27" s="99"/>
      <c r="B27" s="284"/>
      <c r="C27" s="284"/>
      <c r="D27" s="284"/>
      <c r="E27" s="284"/>
      <c r="F27" s="284"/>
      <c r="G27" s="284"/>
      <c r="H27" s="284"/>
      <c r="J27" s="290"/>
      <c r="K27" s="290"/>
      <c r="L27" s="290"/>
      <c r="M27" s="290"/>
      <c r="N27" s="290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1" t="s">
        <v>169</v>
      </c>
      <c r="J28" s="292"/>
      <c r="K28" s="293"/>
      <c r="L28" s="293"/>
      <c r="M28" s="293"/>
      <c r="N28" s="293"/>
      <c r="O28" s="293"/>
      <c r="P28" s="293"/>
      <c r="Q28" s="293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1"/>
      <c r="J29" s="292"/>
      <c r="K29" s="293"/>
      <c r="L29" s="293"/>
      <c r="M29" s="293"/>
      <c r="N29" s="293"/>
      <c r="O29" s="293"/>
      <c r="P29" s="293"/>
      <c r="Q29" s="293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2"/>
      <c r="K30" s="293"/>
      <c r="L30" s="293"/>
      <c r="M30" s="293"/>
      <c r="N30" s="293"/>
      <c r="O30" s="293"/>
      <c r="P30" s="293"/>
      <c r="Q30" s="293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2"/>
      <c r="K31" s="293"/>
      <c r="L31" s="293"/>
      <c r="M31" s="293"/>
      <c r="N31" s="293"/>
      <c r="O31" s="293"/>
      <c r="P31" s="293"/>
      <c r="Q31" s="293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2"/>
      <c r="K32" s="293"/>
      <c r="L32" s="293"/>
      <c r="M32" s="293"/>
      <c r="N32" s="293"/>
      <c r="O32" s="293"/>
      <c r="P32" s="293"/>
      <c r="Q32" s="293"/>
    </row>
    <row r="33" spans="1:8" ht="13.5" thickBot="1" x14ac:dyDescent="0.25">
      <c r="F33" s="103"/>
    </row>
    <row r="34" spans="1:8" ht="18" customHeight="1" thickBot="1" x14ac:dyDescent="0.25">
      <c r="A34" s="276" t="s">
        <v>174</v>
      </c>
      <c r="B34" s="277"/>
      <c r="C34" s="278"/>
      <c r="F34" s="104" t="s">
        <v>175</v>
      </c>
      <c r="G34" s="272"/>
      <c r="H34" s="273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79"/>
      <c r="B36" s="280"/>
      <c r="C36" s="281"/>
      <c r="F36" s="104" t="s">
        <v>176</v>
      </c>
      <c r="G36" s="272"/>
      <c r="H36" s="273"/>
    </row>
    <row r="37" spans="1:8" ht="13.5" thickBot="1" x14ac:dyDescent="0.25">
      <c r="A37" s="279" t="s">
        <v>177</v>
      </c>
      <c r="B37" s="280"/>
      <c r="C37" s="281"/>
      <c r="F37" s="104"/>
    </row>
    <row r="38" spans="1:8" ht="18" customHeight="1" thickBot="1" x14ac:dyDescent="0.25">
      <c r="A38" s="279" t="str">
        <f>IF(A36="Covered","Subject to factory approval.","")</f>
        <v/>
      </c>
      <c r="B38" s="280"/>
      <c r="C38" s="281"/>
      <c r="F38" s="104" t="s">
        <v>178</v>
      </c>
      <c r="G38" s="272"/>
      <c r="H38" s="273"/>
    </row>
    <row r="39" spans="1:8" ht="13.5" thickBot="1" x14ac:dyDescent="0.25">
      <c r="A39" s="287" t="str">
        <f>IF(A36="Covered","Scraft will contact you if approval is not given","")</f>
        <v/>
      </c>
      <c r="B39" s="288"/>
      <c r="C39" s="289"/>
      <c r="F39" s="104"/>
    </row>
    <row r="40" spans="1:8" ht="18" customHeight="1" thickBot="1" x14ac:dyDescent="0.25">
      <c r="F40" s="104" t="s">
        <v>9</v>
      </c>
      <c r="G40" s="272"/>
      <c r="H40" s="273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2"/>
      <c r="H42" s="273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>
        <f>'Order Form'!C9</f>
        <v>0</v>
      </c>
      <c r="C8">
        <f>'Order Form'!D9</f>
        <v>0</v>
      </c>
      <c r="D8">
        <f>'Order Form'!F9</f>
        <v>0</v>
      </c>
      <c r="E8">
        <f>'Order Form'!G9</f>
        <v>0</v>
      </c>
      <c r="F8">
        <f>'Order Form'!H9</f>
        <v>0</v>
      </c>
      <c r="G8">
        <f>'Order Form'!I9</f>
        <v>0</v>
      </c>
      <c r="H8">
        <f>((F8*G8)/(1000*1000))*C8</f>
        <v>0</v>
      </c>
      <c r="I8">
        <f>'Order Form'!L9</f>
        <v>0</v>
      </c>
      <c r="J8">
        <f>'Order Form'!E9</f>
        <v>0</v>
      </c>
      <c r="K8">
        <f>'Order Form'!O9</f>
        <v>0</v>
      </c>
      <c r="L8">
        <f>'Order Form'!K9</f>
        <v>0</v>
      </c>
      <c r="M8">
        <f>'Order Form'!M9</f>
        <v>0</v>
      </c>
      <c r="N8">
        <f>'Order Form'!N9</f>
        <v>0</v>
      </c>
      <c r="O8">
        <f>'Order Form'!E23</f>
        <v>0</v>
      </c>
      <c r="P8">
        <f>'Order Form'!F23</f>
        <v>0</v>
      </c>
      <c r="Q8" s="72">
        <f>'Order Form'!G23</f>
        <v>0</v>
      </c>
      <c r="R8" s="72">
        <f>'Order Form'!H23</f>
        <v>0</v>
      </c>
      <c r="S8" s="72">
        <f>'Order Form'!I23</f>
        <v>0</v>
      </c>
      <c r="T8">
        <f>'Order Form'!D23</f>
        <v>0</v>
      </c>
      <c r="U8">
        <f>'Order Form'!J23</f>
        <v>0</v>
      </c>
      <c r="V8">
        <f>'Order Form'!K23</f>
        <v>0</v>
      </c>
      <c r="AZ8" t="s">
        <v>79</v>
      </c>
    </row>
    <row r="9" spans="1:52" x14ac:dyDescent="0.2">
      <c r="A9" t="str">
        <f>'Order Form'!B10</f>
        <v>CB002</v>
      </c>
      <c r="B9" t="str">
        <f>'Order Form'!C10</f>
        <v>UTILITY</v>
      </c>
      <c r="C9">
        <f>'Order Form'!D10</f>
        <v>1</v>
      </c>
      <c r="D9">
        <f>'Order Form'!F10</f>
        <v>0</v>
      </c>
      <c r="E9" t="str">
        <f>'Order Form'!G10</f>
        <v>OM</v>
      </c>
      <c r="F9">
        <f>'Order Form'!H10</f>
        <v>1130</v>
      </c>
      <c r="G9">
        <f>'Order Form'!I10</f>
        <v>1040</v>
      </c>
      <c r="H9">
        <f>((F9*G9)/(1000*1000))*C9</f>
        <v>1.1752</v>
      </c>
      <c r="I9" t="str">
        <f>'Order Form'!L10</f>
        <v>Default</v>
      </c>
      <c r="J9" t="str">
        <f>'Order Form'!E10</f>
        <v>50.8mm</v>
      </c>
      <c r="K9" t="str">
        <f>'Order Form'!O10</f>
        <v>T002A Ivory</v>
      </c>
      <c r="L9" t="str">
        <f>'Order Form'!K10</f>
        <v>CT</v>
      </c>
      <c r="M9" t="str">
        <f>'Order Form'!M10</f>
        <v>Default</v>
      </c>
      <c r="N9" t="str">
        <f>'Order Form'!N10</f>
        <v>Not Required</v>
      </c>
      <c r="O9" t="str">
        <f>'Order Form'!E24</f>
        <v>Left</v>
      </c>
      <c r="P9" t="str">
        <f>'Order Form'!F24</f>
        <v>Right</v>
      </c>
      <c r="Q9" s="72" t="str">
        <f>'Order Form'!G24</f>
        <v>63.5mm Ramp</v>
      </c>
      <c r="R9" s="72" t="str">
        <f>'Order Form'!H24</f>
        <v>Standard</v>
      </c>
      <c r="S9" s="72" t="str">
        <f>'Order Form'!I24</f>
        <v>Olive</v>
      </c>
      <c r="T9" t="str">
        <f>'Order Form'!D24</f>
        <v>None</v>
      </c>
      <c r="U9" t="str">
        <f>'Order Form'!J24</f>
        <v>No</v>
      </c>
      <c r="V9">
        <f>'Order Form'!K24</f>
        <v>1</v>
      </c>
    </row>
    <row r="10" spans="1:52" x14ac:dyDescent="0.2">
      <c r="A10" t="str">
        <f>'Order Form'!B11</f>
        <v>CB003</v>
      </c>
      <c r="B10" t="str">
        <f>'Order Form'!C11</f>
        <v>BEDROOM 4</v>
      </c>
      <c r="C10">
        <f>'Order Form'!D11</f>
        <v>1</v>
      </c>
      <c r="D10">
        <f>'Order Form'!F11</f>
        <v>0</v>
      </c>
      <c r="E10" t="str">
        <f>'Order Form'!G11</f>
        <v>OM</v>
      </c>
      <c r="F10">
        <f>'Order Form'!H11</f>
        <v>1150</v>
      </c>
      <c r="G10">
        <f>'Order Form'!I11</f>
        <v>1120</v>
      </c>
      <c r="H10">
        <f>((F10*G10)/(1000*1000))*C10</f>
        <v>1.288</v>
      </c>
      <c r="I10" t="str">
        <f>'Order Form'!L11</f>
        <v>Default</v>
      </c>
      <c r="J10" t="str">
        <f>'Order Form'!E11</f>
        <v>50.8mm</v>
      </c>
      <c r="K10" t="str">
        <f>'Order Form'!O11</f>
        <v>T002A Ivory</v>
      </c>
      <c r="L10" t="str">
        <f>'Order Form'!K11</f>
        <v>CT</v>
      </c>
      <c r="M10" t="str">
        <f>'Order Form'!M11</f>
        <v>Default</v>
      </c>
      <c r="N10" t="str">
        <f>'Order Form'!N11</f>
        <v>Not Required</v>
      </c>
      <c r="O10" t="str">
        <f>'Order Form'!E25</f>
        <v>Left</v>
      </c>
      <c r="P10" t="str">
        <f>'Order Form'!F25</f>
        <v>Right</v>
      </c>
      <c r="Q10" s="72" t="str">
        <f>'Order Form'!G25</f>
        <v>63.5mm Ramp</v>
      </c>
      <c r="R10" s="72" t="str">
        <f>'Order Form'!H25</f>
        <v>Standard</v>
      </c>
      <c r="S10" s="72" t="str">
        <f>'Order Form'!I25</f>
        <v>Olive</v>
      </c>
      <c r="T10" t="str">
        <f>'Order Form'!D25</f>
        <v>Long - 76mm</v>
      </c>
      <c r="U10" t="str">
        <f>'Order Form'!J25</f>
        <v>No</v>
      </c>
      <c r="V10">
        <f>'Order Form'!K25</f>
        <v>1</v>
      </c>
    </row>
    <row r="11" spans="1:52" x14ac:dyDescent="0.2">
      <c r="A11" t="str">
        <f>'Order Form'!B12</f>
        <v>CB004</v>
      </c>
      <c r="B11" t="str">
        <f>'Order Form'!C12</f>
        <v>BEDROOM 3</v>
      </c>
      <c r="C11">
        <f>'Order Form'!D12</f>
        <v>1</v>
      </c>
      <c r="D11">
        <f>'Order Form'!F12</f>
        <v>0</v>
      </c>
      <c r="E11" t="str">
        <f>'Order Form'!G12</f>
        <v>OM</v>
      </c>
      <c r="F11">
        <f>'Order Form'!H12</f>
        <v>1135</v>
      </c>
      <c r="G11">
        <f>'Order Form'!I12</f>
        <v>1130</v>
      </c>
      <c r="H11">
        <f>((F11*G11)/(1000*1000))*C11</f>
        <v>1.2825500000000001</v>
      </c>
      <c r="I11" t="str">
        <f>'Order Form'!L12</f>
        <v>Default</v>
      </c>
      <c r="J11" t="str">
        <f>'Order Form'!E12</f>
        <v>50.8mm</v>
      </c>
      <c r="K11" t="str">
        <f>'Order Form'!O12</f>
        <v>T002A Ivory</v>
      </c>
      <c r="L11" t="str">
        <f>'Order Form'!K12</f>
        <v>CT</v>
      </c>
      <c r="M11" t="str">
        <f>'Order Form'!M12</f>
        <v>Default</v>
      </c>
      <c r="N11" t="str">
        <f>'Order Form'!N12</f>
        <v>Not Required</v>
      </c>
      <c r="O11" t="str">
        <f>'Order Form'!E26</f>
        <v>Left</v>
      </c>
      <c r="P11" t="str">
        <f>'Order Form'!F26</f>
        <v>Right</v>
      </c>
      <c r="Q11" s="72" t="str">
        <f>'Order Form'!G26</f>
        <v>63.5mm Ramp</v>
      </c>
      <c r="R11" s="72" t="str">
        <f>'Order Form'!H26</f>
        <v>Standard</v>
      </c>
      <c r="S11" s="72" t="str">
        <f>'Order Form'!I26</f>
        <v>Olive</v>
      </c>
      <c r="T11" t="str">
        <f>'Order Form'!D26</f>
        <v>None</v>
      </c>
      <c r="U11" t="str">
        <f>'Order Form'!J26</f>
        <v>No</v>
      </c>
      <c r="V11">
        <f>'Order Form'!K26</f>
        <v>1</v>
      </c>
    </row>
    <row r="12" spans="1:52" x14ac:dyDescent="0.2">
      <c r="A12" t="str">
        <f>'Order Form'!B13</f>
        <v>CB005</v>
      </c>
      <c r="B12" t="str">
        <f>'Order Form'!C13</f>
        <v>BEDROOM 2</v>
      </c>
      <c r="C12">
        <f>'Order Form'!D13</f>
        <v>1</v>
      </c>
      <c r="D12">
        <f>'Order Form'!F13</f>
        <v>0</v>
      </c>
      <c r="E12" t="str">
        <f>'Order Form'!G13</f>
        <v>OM</v>
      </c>
      <c r="F12">
        <f>'Order Form'!H13</f>
        <v>1140</v>
      </c>
      <c r="G12">
        <f>'Order Form'!I13</f>
        <v>1130</v>
      </c>
      <c r="H12">
        <f t="shared" ref="H12:H18" si="0">((F12*G12)/(1000*1000))*C12</f>
        <v>1.2882</v>
      </c>
      <c r="I12" t="str">
        <f>'Order Form'!L13</f>
        <v>Default</v>
      </c>
      <c r="J12" t="str">
        <f>'Order Form'!E13</f>
        <v>50.8mm</v>
      </c>
      <c r="K12" t="str">
        <f>'Order Form'!O13</f>
        <v>T002A Ivory</v>
      </c>
      <c r="L12" t="str">
        <f>'Order Form'!K13</f>
        <v>CT</v>
      </c>
      <c r="M12" t="str">
        <f>'Order Form'!M13</f>
        <v>Default</v>
      </c>
      <c r="N12" t="str">
        <f>'Order Form'!N13</f>
        <v>Not Required</v>
      </c>
      <c r="O12" t="str">
        <f>'Order Form'!E27</f>
        <v>Left</v>
      </c>
      <c r="P12" t="str">
        <f>'Order Form'!F27</f>
        <v>Right</v>
      </c>
      <c r="Q12" s="72" t="str">
        <f>'Order Form'!G27</f>
        <v>63.5mm Ramp</v>
      </c>
      <c r="R12" s="72" t="str">
        <f>'Order Form'!H27</f>
        <v>Standard</v>
      </c>
      <c r="S12" s="72" t="str">
        <f>'Order Form'!I27</f>
        <v>Olive</v>
      </c>
      <c r="T12" t="str">
        <f>'Order Form'!D27</f>
        <v>None</v>
      </c>
      <c r="U12" t="str">
        <f>'Order Form'!J27</f>
        <v>No</v>
      </c>
      <c r="V12">
        <f>'Order Form'!K27</f>
        <v>1</v>
      </c>
    </row>
    <row r="13" spans="1:52" x14ac:dyDescent="0.2">
      <c r="A13" t="str">
        <f>'Order Form'!B14</f>
        <v>CB006</v>
      </c>
      <c r="B13" t="str">
        <f>'Order Form'!C14</f>
        <v>BEDROOM 1</v>
      </c>
      <c r="C13">
        <f>'Order Form'!D14</f>
        <v>1</v>
      </c>
      <c r="D13">
        <f>'Order Form'!F14</f>
        <v>0</v>
      </c>
      <c r="E13" t="str">
        <f>'Order Form'!G14</f>
        <v>OM</v>
      </c>
      <c r="F13">
        <f>'Order Form'!H14</f>
        <v>1740</v>
      </c>
      <c r="G13">
        <f>'Order Form'!I14</f>
        <v>1140</v>
      </c>
      <c r="H13">
        <f t="shared" si="0"/>
        <v>1.9836</v>
      </c>
      <c r="I13" t="str">
        <f>'Order Form'!L14</f>
        <v>Default</v>
      </c>
      <c r="J13" t="str">
        <f>'Order Form'!E14</f>
        <v>50.8mm</v>
      </c>
      <c r="K13" t="str">
        <f>'Order Form'!O14</f>
        <v>T002A Ivory</v>
      </c>
      <c r="L13" t="str">
        <f>'Order Form'!K14</f>
        <v>CT</v>
      </c>
      <c r="M13" t="str">
        <f>'Order Form'!M14</f>
        <v>Default</v>
      </c>
      <c r="N13" t="str">
        <f>'Order Form'!N14</f>
        <v>Not Required</v>
      </c>
      <c r="O13" t="str">
        <f>'Order Form'!E28</f>
        <v>Left</v>
      </c>
      <c r="P13" t="str">
        <f>'Order Form'!F28</f>
        <v>Right</v>
      </c>
      <c r="Q13" s="72" t="str">
        <f>'Order Form'!G28</f>
        <v>63.5mm Ramp</v>
      </c>
      <c r="R13" s="72" t="str">
        <f>'Order Form'!H28</f>
        <v>Standard</v>
      </c>
      <c r="S13" s="72" t="str">
        <f>'Order Form'!I28</f>
        <v>Olive</v>
      </c>
      <c r="T13" t="str">
        <f>'Order Form'!D28</f>
        <v>None</v>
      </c>
      <c r="U13" t="str">
        <f>'Order Form'!J28</f>
        <v>No</v>
      </c>
      <c r="V13">
        <f>'Order Form'!K28</f>
        <v>1</v>
      </c>
    </row>
    <row r="14" spans="1:52" x14ac:dyDescent="0.2">
      <c r="A14" t="str">
        <f>'Order Form'!B15</f>
        <v>CB007</v>
      </c>
      <c r="B14" t="str">
        <f>'Order Form'!C15</f>
        <v>BEDROOM 1</v>
      </c>
      <c r="C14">
        <f>'Order Form'!D15</f>
        <v>1</v>
      </c>
      <c r="D14">
        <f>'Order Form'!F15</f>
        <v>0</v>
      </c>
      <c r="E14" t="str">
        <f>'Order Form'!G15</f>
        <v>OM</v>
      </c>
      <c r="F14">
        <f>'Order Form'!H15</f>
        <v>1140</v>
      </c>
      <c r="G14">
        <f>'Order Form'!I15</f>
        <v>1130</v>
      </c>
      <c r="H14">
        <f t="shared" si="0"/>
        <v>1.2882</v>
      </c>
      <c r="I14" t="str">
        <f>'Order Form'!L15</f>
        <v>Default</v>
      </c>
      <c r="J14" t="str">
        <f>'Order Form'!E15</f>
        <v>50.8mm</v>
      </c>
      <c r="K14" t="str">
        <f>'Order Form'!O15</f>
        <v>T002A Ivory</v>
      </c>
      <c r="L14" t="str">
        <f>'Order Form'!K15</f>
        <v>CT</v>
      </c>
      <c r="M14" t="str">
        <f>'Order Form'!M15</f>
        <v>Default</v>
      </c>
      <c r="N14" t="str">
        <f>'Order Form'!N15</f>
        <v>Not Required</v>
      </c>
      <c r="O14" t="str">
        <f>'Order Form'!E29</f>
        <v>Left</v>
      </c>
      <c r="P14" t="str">
        <f>'Order Form'!F29</f>
        <v>Right</v>
      </c>
      <c r="Q14" s="72" t="str">
        <f>'Order Form'!G29</f>
        <v>63.5mm Ramp</v>
      </c>
      <c r="R14" s="72" t="str">
        <f>'Order Form'!H29</f>
        <v>Standard</v>
      </c>
      <c r="S14" s="72" t="str">
        <f>'Order Form'!I29</f>
        <v>Olive</v>
      </c>
      <c r="T14" t="str">
        <f>'Order Form'!D29</f>
        <v>None</v>
      </c>
      <c r="U14" t="str">
        <f>'Order Form'!J29</f>
        <v>No</v>
      </c>
      <c r="V14">
        <f>'Order Form'!K29</f>
        <v>1</v>
      </c>
    </row>
    <row r="15" spans="1:52" x14ac:dyDescent="0.2">
      <c r="A15" t="str">
        <f>'Order Form'!B16</f>
        <v>CB008</v>
      </c>
      <c r="B15" t="str">
        <f>'Order Form'!C16</f>
        <v>ENSUIT</v>
      </c>
      <c r="C15">
        <f>'Order Form'!D16</f>
        <v>1</v>
      </c>
      <c r="D15">
        <f>'Order Form'!F16</f>
        <v>0</v>
      </c>
      <c r="E15" t="str">
        <f>'Order Form'!G16</f>
        <v>OM</v>
      </c>
      <c r="F15">
        <f>'Order Form'!H16</f>
        <v>610</v>
      </c>
      <c r="G15">
        <f>'Order Form'!I16</f>
        <v>1120</v>
      </c>
      <c r="H15">
        <f t="shared" si="0"/>
        <v>0.68320000000000003</v>
      </c>
      <c r="I15" t="str">
        <f>'Order Form'!L16</f>
        <v>Default</v>
      </c>
      <c r="J15" t="str">
        <f>'Order Form'!E16</f>
        <v>50.8mm</v>
      </c>
      <c r="K15" t="str">
        <f>'Order Form'!O16</f>
        <v>T002A Ivory</v>
      </c>
      <c r="L15" t="str">
        <f>'Order Form'!K16</f>
        <v>CT</v>
      </c>
      <c r="M15" t="str">
        <f>'Order Form'!M16</f>
        <v>Default</v>
      </c>
      <c r="N15" t="str">
        <f>'Order Form'!N16</f>
        <v>Not Required</v>
      </c>
      <c r="O15" t="str">
        <f>'Order Form'!E30</f>
        <v>Left</v>
      </c>
      <c r="P15" t="str">
        <f>'Order Form'!F30</f>
        <v>Right</v>
      </c>
      <c r="Q15" s="72" t="str">
        <f>'Order Form'!G30</f>
        <v>63.5mm Ramp</v>
      </c>
      <c r="R15" s="72" t="str">
        <f>'Order Form'!H30</f>
        <v>Standard</v>
      </c>
      <c r="S15" s="72" t="str">
        <f>'Order Form'!I30</f>
        <v>Olive</v>
      </c>
      <c r="T15" t="str">
        <f>'Order Form'!D30</f>
        <v>None</v>
      </c>
      <c r="U15" t="str">
        <f>'Order Form'!J30</f>
        <v>No</v>
      </c>
      <c r="V15">
        <f>'Order Form'!K30</f>
        <v>1</v>
      </c>
    </row>
    <row r="16" spans="1:52" x14ac:dyDescent="0.2">
      <c r="A16" t="str">
        <f>'Order Form'!B17</f>
        <v>CB009</v>
      </c>
      <c r="B16" t="str">
        <f>'Order Form'!C17</f>
        <v>ENSUIT</v>
      </c>
      <c r="C16">
        <f>'Order Form'!D17</f>
        <v>1</v>
      </c>
      <c r="D16">
        <f>'Order Form'!F17</f>
        <v>0</v>
      </c>
      <c r="E16" t="str">
        <f>'Order Form'!G17</f>
        <v>OM</v>
      </c>
      <c r="F16">
        <f>'Order Form'!H17</f>
        <v>620</v>
      </c>
      <c r="G16">
        <f>'Order Form'!I17</f>
        <v>1110</v>
      </c>
      <c r="H16">
        <f t="shared" si="0"/>
        <v>0.68820000000000003</v>
      </c>
      <c r="I16" t="str">
        <f>'Order Form'!L17</f>
        <v>Default</v>
      </c>
      <c r="J16" t="str">
        <f>'Order Form'!E17</f>
        <v>50.8mm</v>
      </c>
      <c r="K16" t="str">
        <f>'Order Form'!O17</f>
        <v>T002A Ivory</v>
      </c>
      <c r="L16" t="str">
        <f>'Order Form'!K17</f>
        <v>CT</v>
      </c>
      <c r="M16" t="str">
        <f>'Order Form'!M17</f>
        <v>Default</v>
      </c>
      <c r="N16" t="str">
        <f>'Order Form'!N17</f>
        <v>Not Required</v>
      </c>
      <c r="O16" t="str">
        <f>'Order Form'!E31</f>
        <v>Left</v>
      </c>
      <c r="P16" t="str">
        <f>'Order Form'!F31</f>
        <v>Right</v>
      </c>
      <c r="Q16" s="72" t="str">
        <f>'Order Form'!G31</f>
        <v>63.5mm Ramp</v>
      </c>
      <c r="R16" s="72" t="str">
        <f>'Order Form'!H31</f>
        <v>Standard</v>
      </c>
      <c r="S16" s="72" t="str">
        <f>'Order Form'!I31</f>
        <v>Olive</v>
      </c>
      <c r="T16" t="str">
        <f>'Order Form'!D31</f>
        <v>None</v>
      </c>
      <c r="U16" t="str">
        <f>'Order Form'!J31</f>
        <v>No</v>
      </c>
      <c r="V16">
        <f>'Order Form'!K31</f>
        <v>1</v>
      </c>
    </row>
    <row r="17" spans="1:22" x14ac:dyDescent="0.2">
      <c r="A17" t="str">
        <f>'Order Form'!B18</f>
        <v>CB010</v>
      </c>
      <c r="B17" t="str">
        <f>'Order Form'!C18</f>
        <v>BATHROOM</v>
      </c>
      <c r="C17">
        <f>'Order Form'!D18</f>
        <v>1</v>
      </c>
      <c r="D17">
        <f>'Order Form'!F18</f>
        <v>0</v>
      </c>
      <c r="E17" t="str">
        <f>'Order Form'!G18</f>
        <v>OM</v>
      </c>
      <c r="F17">
        <f>'Order Form'!H18</f>
        <v>915</v>
      </c>
      <c r="G17">
        <f>'Order Form'!I18</f>
        <v>1110</v>
      </c>
      <c r="H17">
        <f t="shared" si="0"/>
        <v>1.0156499999999999</v>
      </c>
      <c r="I17" t="str">
        <f>'Order Form'!L18</f>
        <v>Default</v>
      </c>
      <c r="J17" t="str">
        <f>'Order Form'!E18</f>
        <v>50.8mm</v>
      </c>
      <c r="K17" t="str">
        <f>'Order Form'!O18</f>
        <v>T002A Ivory</v>
      </c>
      <c r="L17" t="str">
        <f>'Order Form'!K18</f>
        <v>CT</v>
      </c>
      <c r="M17" t="str">
        <f>'Order Form'!M18</f>
        <v>Default</v>
      </c>
      <c r="N17" t="str">
        <f>'Order Form'!N18</f>
        <v>Not Required</v>
      </c>
      <c r="O17" t="str">
        <f>'Order Form'!E32</f>
        <v>Left</v>
      </c>
      <c r="P17" t="str">
        <f>'Order Form'!F32</f>
        <v>Right</v>
      </c>
      <c r="Q17" s="72" t="str">
        <f>'Order Form'!G32</f>
        <v>63.5mm Ramp</v>
      </c>
      <c r="R17" s="72" t="str">
        <f>'Order Form'!H32</f>
        <v>Standard</v>
      </c>
      <c r="S17" s="72" t="str">
        <f>'Order Form'!I32</f>
        <v>Olive</v>
      </c>
      <c r="T17" t="str">
        <f>'Order Form'!D32</f>
        <v>None</v>
      </c>
      <c r="U17" t="str">
        <f>'Order Form'!J32</f>
        <v>No</v>
      </c>
      <c r="V17">
        <f>'Order Form'!K32</f>
        <v>1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10.692799999999998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0</v>
      </c>
      <c r="D23">
        <f t="shared" ref="D23:D33" ca="1" si="1">IF(D8&lt;&gt;0,VLOOKUP(D8,INDIRECT(Prefix &amp; "ColourPrices"),2,0),0)</f>
        <v>0</v>
      </c>
      <c r="F23" t="e">
        <f t="shared" ref="F23:F33" si="2">VLOOKUP(F8,WidthColumn,2,TRUE)</f>
        <v>#N/A</v>
      </c>
      <c r="G23" t="e">
        <f t="shared" ref="G23:G33" si="3">VLOOKUP(G8,DropRow,2,TRUE)</f>
        <v>#N/A</v>
      </c>
      <c r="H23">
        <f>IF(C8=0,0,H8/C8)</f>
        <v>0</v>
      </c>
      <c r="J23">
        <f t="shared" ref="J23:J33" ca="1" si="4">IF(J8&lt;&gt;0,VLOOKUP(J8,INDIRECT(Prefix &amp; "SlatSizePrices"),2,FALSE),0)</f>
        <v>0</v>
      </c>
      <c r="K23">
        <f t="shared" ref="K23:K33" ca="1" si="5">IF(K8&lt;&gt;0,VLOOKUP(K8,INDIRECT(Prefix &amp; "RoutlessPrices"),2,0),0)</f>
        <v>0</v>
      </c>
      <c r="L23" s="74">
        <f t="shared" ref="L23:L33" ca="1" si="6">IF(L8&lt;&gt;0,VLOOKUP(L8,INDIRECT(Prefix &amp; "LadderChoicePrices"),2,0),0)</f>
        <v>0</v>
      </c>
      <c r="Q23" s="74" t="e">
        <f>VLOOKUP('Price Calculations'!Q8,b_ValanceDesignPrices,2,FALSE)</f>
        <v>#N/A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1</v>
      </c>
      <c r="D24">
        <f t="shared" ca="1" si="1"/>
        <v>0</v>
      </c>
      <c r="F24">
        <f t="shared" si="2"/>
        <v>5</v>
      </c>
      <c r="G24">
        <f t="shared" si="3"/>
        <v>4</v>
      </c>
      <c r="H24">
        <f t="shared" ref="H24:H33" si="10">IF(C9=0,0,H9/C9)</f>
        <v>1.1752</v>
      </c>
      <c r="J24">
        <f t="shared" ca="1" si="4"/>
        <v>50</v>
      </c>
      <c r="K24" t="e">
        <f t="shared" ca="1" si="5"/>
        <v>#N/A</v>
      </c>
      <c r="L24" s="74">
        <f t="shared" ca="1" si="6"/>
        <v>0.1</v>
      </c>
      <c r="Q24" s="74">
        <f>VLOOKUP('Price Calculations'!Q9,b_ValanceDesignPrices,2,FALSE)</f>
        <v>0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1</v>
      </c>
      <c r="D25">
        <f t="shared" ca="1" si="1"/>
        <v>0</v>
      </c>
      <c r="F25">
        <f t="shared" si="2"/>
        <v>5</v>
      </c>
      <c r="G25">
        <f t="shared" si="3"/>
        <v>5</v>
      </c>
      <c r="H25">
        <f t="shared" si="10"/>
        <v>1.288</v>
      </c>
      <c r="J25">
        <f t="shared" ca="1" si="4"/>
        <v>50</v>
      </c>
      <c r="K25" t="e">
        <f t="shared" ca="1" si="5"/>
        <v>#N/A</v>
      </c>
      <c r="L25" s="74">
        <f t="shared" ca="1" si="6"/>
        <v>0.1</v>
      </c>
      <c r="Q25" s="74">
        <f>VLOOKUP('Price Calculations'!Q10,b_ValanceDesignPrices,2,FALSE)</f>
        <v>0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1</v>
      </c>
      <c r="D26">
        <f t="shared" ca="1" si="1"/>
        <v>0</v>
      </c>
      <c r="F26">
        <f t="shared" si="2"/>
        <v>5</v>
      </c>
      <c r="G26">
        <f t="shared" si="3"/>
        <v>5</v>
      </c>
      <c r="H26">
        <f t="shared" si="10"/>
        <v>1.2825500000000001</v>
      </c>
      <c r="J26">
        <f t="shared" ca="1" si="4"/>
        <v>50</v>
      </c>
      <c r="K26" t="e">
        <f t="shared" ca="1" si="5"/>
        <v>#N/A</v>
      </c>
      <c r="L26" s="74">
        <f t="shared" ca="1" si="6"/>
        <v>0.1</v>
      </c>
      <c r="Q26" s="74">
        <f>VLOOKUP('Price Calculations'!Q11,b_ValanceDesignPrices,2,FALSE)</f>
        <v>0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1</v>
      </c>
      <c r="D27">
        <f t="shared" ca="1" si="1"/>
        <v>0</v>
      </c>
      <c r="F27">
        <f t="shared" si="2"/>
        <v>5</v>
      </c>
      <c r="G27">
        <f t="shared" si="3"/>
        <v>5</v>
      </c>
      <c r="H27">
        <f t="shared" si="10"/>
        <v>1.2882</v>
      </c>
      <c r="J27">
        <f t="shared" ca="1" si="4"/>
        <v>50</v>
      </c>
      <c r="K27" t="e">
        <f t="shared" ca="1" si="5"/>
        <v>#N/A</v>
      </c>
      <c r="L27" s="74">
        <f t="shared" ca="1" si="6"/>
        <v>0.1</v>
      </c>
      <c r="Q27" s="74">
        <f>VLOOKUP('Price Calculations'!Q12,b_ValanceDesignPrices,2,FALSE)</f>
        <v>0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1</v>
      </c>
      <c r="D28">
        <f t="shared" ca="1" si="1"/>
        <v>0</v>
      </c>
      <c r="F28">
        <f t="shared" si="2"/>
        <v>9</v>
      </c>
      <c r="G28">
        <f t="shared" si="3"/>
        <v>5</v>
      </c>
      <c r="H28">
        <f t="shared" si="10"/>
        <v>1.9836</v>
      </c>
      <c r="J28">
        <f t="shared" ca="1" si="4"/>
        <v>50</v>
      </c>
      <c r="K28" t="e">
        <f t="shared" ca="1" si="5"/>
        <v>#N/A</v>
      </c>
      <c r="L28" s="74">
        <f t="shared" ca="1" si="6"/>
        <v>0.1</v>
      </c>
      <c r="Q28" s="74">
        <f>VLOOKUP('Price Calculations'!Q13,b_ValanceDesignPrices,2,FALSE)</f>
        <v>0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1</v>
      </c>
      <c r="D29">
        <f t="shared" ca="1" si="1"/>
        <v>0</v>
      </c>
      <c r="F29">
        <f t="shared" si="2"/>
        <v>5</v>
      </c>
      <c r="G29">
        <f t="shared" si="3"/>
        <v>5</v>
      </c>
      <c r="H29">
        <f t="shared" si="10"/>
        <v>1.2882</v>
      </c>
      <c r="J29">
        <f t="shared" ca="1" si="4"/>
        <v>50</v>
      </c>
      <c r="K29" t="e">
        <f t="shared" ca="1" si="5"/>
        <v>#N/A</v>
      </c>
      <c r="L29" s="74">
        <f t="shared" ca="1" si="6"/>
        <v>0.1</v>
      </c>
      <c r="Q29" s="74">
        <f>VLOOKUP('Price Calculations'!Q14,b_ValanceDesignPrices,2,FALSE)</f>
        <v>0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1</v>
      </c>
      <c r="D30">
        <f t="shared" ca="1" si="1"/>
        <v>0</v>
      </c>
      <c r="F30">
        <f t="shared" si="2"/>
        <v>1</v>
      </c>
      <c r="G30">
        <f t="shared" si="3"/>
        <v>5</v>
      </c>
      <c r="H30">
        <f t="shared" si="10"/>
        <v>0.68320000000000003</v>
      </c>
      <c r="J30">
        <f t="shared" ca="1" si="4"/>
        <v>50</v>
      </c>
      <c r="K30" t="e">
        <f t="shared" ca="1" si="5"/>
        <v>#N/A</v>
      </c>
      <c r="L30" s="74">
        <f t="shared" ca="1" si="6"/>
        <v>0.1</v>
      </c>
      <c r="Q30" s="74">
        <f>VLOOKUP('Price Calculations'!Q15,b_ValanceDesignPrices,2,FALSE)</f>
        <v>0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1</v>
      </c>
      <c r="D31">
        <f t="shared" ca="1" si="1"/>
        <v>0</v>
      </c>
      <c r="F31">
        <f t="shared" si="2"/>
        <v>2</v>
      </c>
      <c r="G31">
        <f t="shared" si="3"/>
        <v>5</v>
      </c>
      <c r="H31">
        <f t="shared" si="10"/>
        <v>0.68820000000000003</v>
      </c>
      <c r="J31">
        <f t="shared" ca="1" si="4"/>
        <v>50</v>
      </c>
      <c r="K31" t="e">
        <f t="shared" ca="1" si="5"/>
        <v>#N/A</v>
      </c>
      <c r="L31" s="74">
        <f t="shared" ca="1" si="6"/>
        <v>0.1</v>
      </c>
      <c r="Q31" s="74">
        <f>VLOOKUP('Price Calculations'!Q16,b_ValanceDesignPrices,2,FALSE)</f>
        <v>0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1</v>
      </c>
      <c r="D32">
        <f t="shared" ca="1" si="1"/>
        <v>0</v>
      </c>
      <c r="F32">
        <f t="shared" si="2"/>
        <v>4</v>
      </c>
      <c r="G32">
        <f t="shared" si="3"/>
        <v>5</v>
      </c>
      <c r="H32">
        <f t="shared" si="10"/>
        <v>1.0156499999999999</v>
      </c>
      <c r="J32">
        <f t="shared" ca="1" si="4"/>
        <v>50</v>
      </c>
      <c r="K32" t="e">
        <f t="shared" ca="1" si="5"/>
        <v>#N/A</v>
      </c>
      <c r="L32" s="74">
        <f t="shared" ca="1" si="6"/>
        <v>0.1</v>
      </c>
      <c r="Q32" s="74">
        <f>VLOOKUP('Price Calculations'!Q17,b_ValanceDesignPrices,2,FALSE)</f>
        <v>0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0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0</v>
      </c>
      <c r="L38">
        <f ca="1">L23*H38</f>
        <v>0</v>
      </c>
      <c r="Q38">
        <f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0</v>
      </c>
      <c r="X38" s="63">
        <f ca="1">D38</f>
        <v>0</v>
      </c>
      <c r="Y38">
        <f ca="1">SUM(E38:V38)</f>
        <v>0</v>
      </c>
      <c r="Z38">
        <f ca="1">IF(W38="POA","POA",X38+(Y38*(1-$B$1)))</f>
        <v>0</v>
      </c>
      <c r="AA38">
        <f ca="1">IF(W38="POA","POA",ROUND(Z38*C8,2))</f>
        <v>0</v>
      </c>
      <c r="AB38">
        <f ca="1">W38*C8</f>
        <v>0</v>
      </c>
    </row>
    <row r="39" spans="1:29" x14ac:dyDescent="0.2">
      <c r="A39" t="str">
        <f>A24</f>
        <v>CB002</v>
      </c>
      <c r="C39">
        <f t="shared" ref="C39:C48" si="16">C9</f>
        <v>1</v>
      </c>
      <c r="D39">
        <f t="shared" ref="D39:D48" ca="1" si="17">IF(D24="POA","POA",D24)</f>
        <v>0</v>
      </c>
      <c r="H39">
        <f t="shared" ca="1" si="13"/>
        <v>105.34</v>
      </c>
      <c r="L39">
        <f t="shared" ref="L39:L48" ca="1" si="18">L24*H39</f>
        <v>10.534000000000001</v>
      </c>
      <c r="Q39">
        <f t="shared" ref="Q39:Q48" ca="1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115.87400000000001</v>
      </c>
      <c r="X39" s="63">
        <f t="shared" ref="X39:X48" ca="1" si="21">D39</f>
        <v>0</v>
      </c>
      <c r="Y39">
        <f t="shared" ref="Y39:Y48" ca="1" si="22">SUM(E39:V39)</f>
        <v>115.87400000000001</v>
      </c>
      <c r="Z39">
        <f t="shared" ref="Z39:Z48" ca="1" si="23">IF(W39="POA","POA",X39+(Y39*(1-$B$1)))</f>
        <v>81.111800000000002</v>
      </c>
      <c r="AA39">
        <f t="shared" ref="AA39:AA48" ca="1" si="24">IF(W39="POA","POA",Z39*C9)</f>
        <v>81.111800000000002</v>
      </c>
      <c r="AB39">
        <f t="shared" ref="AB39:AB48" ca="1" si="25">W39*C9</f>
        <v>115.87400000000001</v>
      </c>
    </row>
    <row r="40" spans="1:29" x14ac:dyDescent="0.2">
      <c r="A40" t="str">
        <f>A25</f>
        <v>CB003</v>
      </c>
      <c r="C40">
        <f t="shared" si="16"/>
        <v>1</v>
      </c>
      <c r="D40">
        <f t="shared" ca="1" si="17"/>
        <v>0</v>
      </c>
      <c r="H40">
        <f t="shared" ca="1" si="13"/>
        <v>120.34</v>
      </c>
      <c r="L40">
        <f t="shared" ca="1" si="18"/>
        <v>12.034000000000001</v>
      </c>
      <c r="Q40">
        <f t="shared" ca="1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132.374</v>
      </c>
      <c r="X40" s="63">
        <f t="shared" ca="1" si="21"/>
        <v>0</v>
      </c>
      <c r="Y40">
        <f t="shared" ca="1" si="22"/>
        <v>132.374</v>
      </c>
      <c r="Z40">
        <f t="shared" ca="1" si="23"/>
        <v>92.661799999999985</v>
      </c>
      <c r="AA40">
        <f t="shared" ca="1" si="24"/>
        <v>92.661799999999985</v>
      </c>
      <c r="AB40">
        <f t="shared" ca="1" si="25"/>
        <v>132.374</v>
      </c>
    </row>
    <row r="41" spans="1:29" x14ac:dyDescent="0.2">
      <c r="A41" t="str">
        <f>A26</f>
        <v>CB004</v>
      </c>
      <c r="C41">
        <f t="shared" si="16"/>
        <v>1</v>
      </c>
      <c r="D41">
        <f t="shared" ca="1" si="17"/>
        <v>0</v>
      </c>
      <c r="H41">
        <f t="shared" ca="1" si="13"/>
        <v>120.34</v>
      </c>
      <c r="L41">
        <f t="shared" ca="1" si="18"/>
        <v>12.034000000000001</v>
      </c>
      <c r="Q41">
        <f t="shared" ca="1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132.374</v>
      </c>
      <c r="X41" s="63">
        <f t="shared" ca="1" si="21"/>
        <v>0</v>
      </c>
      <c r="Y41">
        <f t="shared" ca="1" si="22"/>
        <v>132.374</v>
      </c>
      <c r="Z41">
        <f t="shared" ca="1" si="23"/>
        <v>92.661799999999985</v>
      </c>
      <c r="AA41">
        <f t="shared" ca="1" si="24"/>
        <v>92.661799999999985</v>
      </c>
      <c r="AB41">
        <f t="shared" ca="1" si="25"/>
        <v>132.374</v>
      </c>
    </row>
    <row r="42" spans="1:29" x14ac:dyDescent="0.2">
      <c r="A42" t="str">
        <f t="shared" ref="A42:A48" si="26">A27</f>
        <v>CB005</v>
      </c>
      <c r="C42">
        <f t="shared" si="16"/>
        <v>1</v>
      </c>
      <c r="D42">
        <f t="shared" ca="1" si="17"/>
        <v>0</v>
      </c>
      <c r="H42">
        <f t="shared" ca="1" si="13"/>
        <v>120.34</v>
      </c>
      <c r="L42">
        <f t="shared" ca="1" si="18"/>
        <v>12.034000000000001</v>
      </c>
      <c r="Q42">
        <f t="shared" ca="1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132.374</v>
      </c>
      <c r="X42" s="63">
        <f t="shared" ca="1" si="21"/>
        <v>0</v>
      </c>
      <c r="Y42">
        <f t="shared" ca="1" si="22"/>
        <v>132.374</v>
      </c>
      <c r="Z42">
        <f t="shared" ca="1" si="23"/>
        <v>92.661799999999985</v>
      </c>
      <c r="AA42">
        <f t="shared" ca="1" si="24"/>
        <v>92.661799999999985</v>
      </c>
      <c r="AB42">
        <f t="shared" ca="1" si="25"/>
        <v>132.374</v>
      </c>
    </row>
    <row r="43" spans="1:29" x14ac:dyDescent="0.2">
      <c r="A43" t="str">
        <f t="shared" si="26"/>
        <v>CB006</v>
      </c>
      <c r="C43">
        <f t="shared" si="16"/>
        <v>1</v>
      </c>
      <c r="D43">
        <f t="shared" ca="1" si="17"/>
        <v>0</v>
      </c>
      <c r="H43">
        <f t="shared" ca="1" si="13"/>
        <v>180.57</v>
      </c>
      <c r="L43">
        <f t="shared" ca="1" si="18"/>
        <v>18.056999999999999</v>
      </c>
      <c r="Q43">
        <f t="shared" ca="1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198.62699999999998</v>
      </c>
      <c r="X43" s="63">
        <f t="shared" ca="1" si="21"/>
        <v>0</v>
      </c>
      <c r="Y43">
        <f t="shared" ca="1" si="22"/>
        <v>198.62699999999998</v>
      </c>
      <c r="Z43">
        <f t="shared" ca="1" si="23"/>
        <v>139.03889999999998</v>
      </c>
      <c r="AA43">
        <f t="shared" ca="1" si="24"/>
        <v>139.03889999999998</v>
      </c>
      <c r="AB43">
        <f t="shared" ca="1" si="25"/>
        <v>198.62699999999998</v>
      </c>
    </row>
    <row r="44" spans="1:29" x14ac:dyDescent="0.2">
      <c r="A44" t="str">
        <f t="shared" si="26"/>
        <v>CB007</v>
      </c>
      <c r="C44">
        <f t="shared" si="16"/>
        <v>1</v>
      </c>
      <c r="D44">
        <f t="shared" ca="1" si="17"/>
        <v>0</v>
      </c>
      <c r="H44">
        <f t="shared" ca="1" si="13"/>
        <v>120.34</v>
      </c>
      <c r="L44">
        <f t="shared" ca="1" si="18"/>
        <v>12.034000000000001</v>
      </c>
      <c r="Q44">
        <f t="shared" ca="1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132.374</v>
      </c>
      <c r="X44" s="63">
        <f t="shared" ca="1" si="21"/>
        <v>0</v>
      </c>
      <c r="Y44">
        <f t="shared" ca="1" si="22"/>
        <v>132.374</v>
      </c>
      <c r="Z44">
        <f t="shared" ca="1" si="23"/>
        <v>92.661799999999985</v>
      </c>
      <c r="AA44">
        <f t="shared" ca="1" si="24"/>
        <v>92.661799999999985</v>
      </c>
      <c r="AB44">
        <f t="shared" ca="1" si="25"/>
        <v>132.374</v>
      </c>
    </row>
    <row r="45" spans="1:29" x14ac:dyDescent="0.2">
      <c r="A45" t="str">
        <f t="shared" si="26"/>
        <v>CB008</v>
      </c>
      <c r="C45">
        <f t="shared" si="16"/>
        <v>1</v>
      </c>
      <c r="D45">
        <f t="shared" ca="1" si="17"/>
        <v>0</v>
      </c>
      <c r="H45">
        <f t="shared" ca="1" si="13"/>
        <v>66.91</v>
      </c>
      <c r="L45">
        <f t="shared" ca="1" si="18"/>
        <v>6.6909999999999998</v>
      </c>
      <c r="Q45">
        <f t="shared" ca="1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73.600999999999999</v>
      </c>
      <c r="X45" s="63">
        <f t="shared" ca="1" si="21"/>
        <v>0</v>
      </c>
      <c r="Y45">
        <f t="shared" ca="1" si="22"/>
        <v>73.600999999999999</v>
      </c>
      <c r="Z45">
        <f t="shared" ca="1" si="23"/>
        <v>51.520699999999998</v>
      </c>
      <c r="AA45">
        <f t="shared" ca="1" si="24"/>
        <v>51.520699999999998</v>
      </c>
      <c r="AB45">
        <f t="shared" ca="1" si="25"/>
        <v>73.600999999999999</v>
      </c>
    </row>
    <row r="46" spans="1:29" x14ac:dyDescent="0.2">
      <c r="A46" t="str">
        <f t="shared" si="26"/>
        <v>CB009</v>
      </c>
      <c r="C46">
        <f t="shared" si="16"/>
        <v>1</v>
      </c>
      <c r="D46">
        <f t="shared" ca="1" si="17"/>
        <v>0</v>
      </c>
      <c r="H46">
        <f t="shared" ca="1" si="13"/>
        <v>75.23</v>
      </c>
      <c r="L46">
        <f t="shared" ca="1" si="18"/>
        <v>7.5230000000000006</v>
      </c>
      <c r="Q46">
        <f t="shared" ca="1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82.753</v>
      </c>
      <c r="X46" s="63">
        <f t="shared" ca="1" si="21"/>
        <v>0</v>
      </c>
      <c r="Y46">
        <f t="shared" ca="1" si="22"/>
        <v>82.753</v>
      </c>
      <c r="Z46">
        <f t="shared" ca="1" si="23"/>
        <v>57.927099999999996</v>
      </c>
      <c r="AA46">
        <f t="shared" ca="1" si="24"/>
        <v>57.927099999999996</v>
      </c>
      <c r="AB46">
        <f t="shared" ca="1" si="25"/>
        <v>82.753</v>
      </c>
    </row>
    <row r="47" spans="1:29" x14ac:dyDescent="0.2">
      <c r="A47" t="str">
        <f t="shared" si="26"/>
        <v>CB010</v>
      </c>
      <c r="C47">
        <f t="shared" si="16"/>
        <v>1</v>
      </c>
      <c r="D47">
        <f t="shared" ca="1" si="17"/>
        <v>0</v>
      </c>
      <c r="H47">
        <f t="shared" ca="1" si="13"/>
        <v>100.81</v>
      </c>
      <c r="L47">
        <f t="shared" ca="1" si="18"/>
        <v>10.081000000000001</v>
      </c>
      <c r="Q47">
        <f t="shared" ca="1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110.89100000000001</v>
      </c>
      <c r="X47" s="63">
        <f t="shared" ca="1" si="21"/>
        <v>0</v>
      </c>
      <c r="Y47">
        <f t="shared" ca="1" si="22"/>
        <v>110.89100000000001</v>
      </c>
      <c r="Z47">
        <f t="shared" ca="1" si="23"/>
        <v>77.623699999999999</v>
      </c>
      <c r="AA47">
        <f t="shared" ca="1" si="24"/>
        <v>77.623699999999999</v>
      </c>
      <c r="AB47">
        <f t="shared" ca="1" si="25"/>
        <v>110.89100000000001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777.86939999999993</v>
      </c>
      <c r="AB51">
        <f ca="1">SUM(AB38:AB48)</f>
        <v>1111.242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10.692799999999998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4" t="s">
        <v>124</v>
      </c>
      <c r="AA59" s="295"/>
      <c r="AB59" s="295"/>
      <c r="AC59" s="295"/>
      <c r="AD59" s="296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777.87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1" t="s">
        <v>201</v>
      </c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2"/>
      <c r="R8" s="303"/>
      <c r="S8" s="303"/>
      <c r="T8" s="303"/>
      <c r="U8" s="303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299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299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299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299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299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299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299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299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299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299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299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299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299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299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299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299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299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4" t="s">
        <v>269</v>
      </c>
      <c r="H32" s="300"/>
      <c r="I32" s="159"/>
    </row>
    <row r="33" spans="1:21" s="63" customFormat="1" x14ac:dyDescent="0.2">
      <c r="D33" s="301" t="s">
        <v>201</v>
      </c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7"/>
      <c r="R34" s="298"/>
      <c r="S34" s="298"/>
      <c r="T34" s="298"/>
      <c r="U34" s="298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299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0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0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0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0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0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0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0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0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0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0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0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0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0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0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0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0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2823fea1bc2affb62c76dbb4fa8b8d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31421D-DE73-45A4-B804-FA40AAB70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9F9814-785D-4B53-BC9D-D01C23D61BC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Jasmine Brochet</cp:lastModifiedBy>
  <cp:lastPrinted>2019-06-12T14:09:58Z</cp:lastPrinted>
  <dcterms:created xsi:type="dcterms:W3CDTF">2007-01-10T21:20:53Z</dcterms:created>
  <dcterms:modified xsi:type="dcterms:W3CDTF">2019-06-12T14:50:28Z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0x01010029626303F7C3EA4D90E82AA2EA0904AF</vt:lpwstr>
  </property>
</Properties>
</file>