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pinteriorsltd-my.sharepoint.com/personal/rebecca_cpinteriors_je/Documents/Desktop/"/>
    </mc:Choice>
  </mc:AlternateContent>
  <xr:revisionPtr revIDLastSave="0" documentId="8_{77E355C1-4186-461A-B7C1-530F8B4F93F0}" xr6:coauthVersionLast="43" xr6:coauthVersionMax="43" xr10:uidLastSave="{00000000-0000-0000-0000-000000000000}"/>
  <workbookProtection workbookAlgorithmName="SHA-512" workbookHashValue="DNLMnQVmBTrRVH8GRTWtPy0Uvwhyh2nVMMBOpSg24uXLvS+iCjCY6/1+8e190EWEMkWIWyBw/TDGjccIcY2H2Q==" workbookSaltValue="CmpFmqCJCdq5n3y11d/O2w==" workbookSpinCount="100000" lockStructure="1"/>
  <bookViews>
    <workbookView xWindow="28680" yWindow="-120" windowWidth="29040" windowHeight="17640" tabRatio="692" xr2:uid="{00000000-000D-0000-FFFF-FFFF00000000}"/>
  </bookViews>
  <sheets>
    <sheet name="Order Form" sheetId="6" r:id="rId1"/>
    <sheet name="Installation Sheet" sheetId="13" r:id="rId2"/>
    <sheet name="EDR" sheetId="12" r:id="rId3"/>
    <sheet name="Price Calculations" sheetId="7" state="hidden" r:id="rId4"/>
    <sheet name="Lookup Basswood" sheetId="5" state="hidden" r:id="rId5"/>
    <sheet name="Classic Grid" sheetId="16" state="hidden" r:id="rId6"/>
  </sheets>
  <definedNames>
    <definedName name="AltDeliverAddr">'Order Form'!$I$36</definedName>
    <definedName name="b_50IBValanceReturns">'Lookup Basswood'!$AR$6:$AR$8</definedName>
    <definedName name="b_50OBValanceReturns">'Lookup Basswood'!$AR$7:$AR$8</definedName>
    <definedName name="b_64IBValanceReturns">'Lookup Basswood'!$AR$10:$AR$12</definedName>
    <definedName name="b_64OBValanceReturns">'Lookup Basswood'!$AR$11:$AR$12</definedName>
    <definedName name="b_CentreCustomLColour">'Lookup Basswood'!$V$15:$V$29</definedName>
    <definedName name="b_CentreLadderColour">'Lookup Basswood'!$V$15:$V$29</definedName>
    <definedName name="b_Cleat">'Lookup Basswood'!$BG$3:$BG$6</definedName>
    <definedName name="b_CleatPriceTab">'Lookup Basswood'!$BG$3:$BH$6</definedName>
    <definedName name="b_ClothTapeColours">'Lookup Basswood'!$Y$4:$Y$20</definedName>
    <definedName name="b_Colour">'Lookup Basswood'!$A$3:$A$29</definedName>
    <definedName name="b_ColourPrices">'Lookup Basswood'!$A$3:$C$29</definedName>
    <definedName name="b_ConsolidColours">'Lookup Basswood'!$BI$3:$BI$14</definedName>
    <definedName name="b_CustHeadrailFinish">'Lookup Basswood'!$I$4:$I$10</definedName>
    <definedName name="b_CustLadderColour">'Lookup Basswood'!$V$4:$V$12</definedName>
    <definedName name="b_CustomConsolidColours">'Lookup Basswood'!$BI$4:$BI$14</definedName>
    <definedName name="b_Cutouts">'Lookup Basswood'!$AU$3:$AU$7</definedName>
    <definedName name="b_CutOutsPrices">'Lookup Basswood'!$AU$3:$AV$7</definedName>
    <definedName name="b_DefaultLC">'Lookup Basswood'!$S$3</definedName>
    <definedName name="b_DefaultOnly">'Lookup Basswood'!$S$29</definedName>
    <definedName name="b_DeliveryMethod">'Lookup Basswood'!$BD$3:$BD$6</definedName>
    <definedName name="b_DeliveryMethodPrice">'Lookup Basswood'!$BD$3:$BE$6</definedName>
    <definedName name="b_DTapeDesign">'Lookup Basswood'!$AB$4:$AB$21</definedName>
    <definedName name="b_DTapeDesignPrices">'Lookup Basswood'!$AB$3:$AC$19</definedName>
    <definedName name="b_HDBracket">'Lookup Basswood'!$BA$3:$BA$4</definedName>
    <definedName name="b_HDBracketPrices">'Lookup Basswood'!$BA$3:$BB$4</definedName>
    <definedName name="b_HeadrailFinish">'Lookup Basswood'!$I$3:$I$10</definedName>
    <definedName name="b_HeadrailFinishPrices">'Lookup Basswood'!$I$3:$J$9</definedName>
    <definedName name="b_LadderChoice">'Lookup Basswood'!$S$3:$S$5</definedName>
    <definedName name="b_LadderChoicePrices">'Lookup Basswood'!$S$3:$T$5</definedName>
    <definedName name="b_LadderColour">'Lookup Basswood'!$V$3:$V$12</definedName>
    <definedName name="b_LadderColourPrices">'Lookup Basswood'!$V$3:$W$12</definedName>
    <definedName name="b_LiftCord">'Lookup Basswood'!$AH$3:$AH$4</definedName>
    <definedName name="b_LiftCordPrices">'Lookup Basswood'!$AH$3:$AI$4</definedName>
    <definedName name="b_MultipleBlinds">'Lookup Basswood'!$AX$3:$AX$5</definedName>
    <definedName name="b_MultipleBlindsPrices">'Lookup Basswood'!$AX$3:$AY$5</definedName>
    <definedName name="b_Routless">'Lookup Basswood'!$P$3:$P$4</definedName>
    <definedName name="b_RoutlessPrices">'Lookup Basswood'!$P$3:$Q$4</definedName>
    <definedName name="b_SizeType">'Lookup Basswood'!$E$3:$E$4</definedName>
    <definedName name="b_SizeTypePrices">'Lookup Basswood'!$E$3:$G$4</definedName>
    <definedName name="b_SlatSize">'Lookup Basswood'!$L$3:$L$4</definedName>
    <definedName name="b_SlatSizePrices">'Lookup Basswood'!$L$3:$N$4</definedName>
    <definedName name="b_T002">'Lookup Basswood'!$Y$5</definedName>
    <definedName name="b_TiltCord">'Lookup Basswood'!$AE$3:$AE$4</definedName>
    <definedName name="b_TiltCordPrices">'Lookup Basswood'!$AE$3:$AF$4</definedName>
    <definedName name="b_ToggleDesign">'Lookup Basswood'!$AK$3:$AK$6</definedName>
    <definedName name="b_ToggleDesignPrices">'Lookup Basswood'!$AK$3:$AL$5</definedName>
    <definedName name="b_ValanceDesign">'Lookup Basswood'!$AN$3:$AN$8</definedName>
    <definedName name="b_ValanceDesignPrices">'Lookup Basswood'!$AN$3:$AP$8</definedName>
    <definedName name="b_ValanceReturns">'Lookup Basswood'!$AR$3:$AR$4</definedName>
    <definedName name="b_ValanceReturnsPrices">'Lookup Basswood'!$AR$3:$AS$4</definedName>
    <definedName name="Brackets">'Lookup Basswood'!$BK$3:$BK$5</definedName>
    <definedName name="Brand">'Price Calculations'!$A$61</definedName>
    <definedName name="CentreCustomLColour">INDIRECT(Prefix &amp; "CentreCustomLColour")</definedName>
    <definedName name="CentreLadderColour">INDIRECT(Prefix &amp; "CentreLadderColour")</definedName>
    <definedName name="Classic35Prices">'Classic Grid'!#REF!</definedName>
    <definedName name="Classic50Prices">'Classic Grid'!$D$11:$U$27</definedName>
    <definedName name="Classic50PriceTab">'Price Calculations'!#REF!</definedName>
    <definedName name="Classic64Prices">'Classic Grid'!$D$37:$U$53</definedName>
    <definedName name="Classic64PriceTab">'Price Calculations'!#REF!</definedName>
    <definedName name="ClassicPriceTab">'Price Calculations'!#REF!</definedName>
    <definedName name="CleatPriceTab">INDIRECT(Prefix &amp; "CleatPriceTab")</definedName>
    <definedName name="ClothTapeColours">IF('Order Form'!XFC1="default LC","Not Required",INDIRECT(Prefix &amp; "ClothTapeColours"))</definedName>
    <definedName name="Colour">INDIRECT(Prefix &amp; "Colour")</definedName>
    <definedName name="CustHeadRailFinish">INDIRECT(Prefix &amp; "Custheadrailfinish")</definedName>
    <definedName name="CustLadderColour">INDIRECT(Prefix &amp; "CustLadderColour")</definedName>
    <definedName name="Customer_Name">'Order Form'!$J$4</definedName>
    <definedName name="Cutouts">INDIRECT(Prefix &amp; "Cutouts")</definedName>
    <definedName name="Dealer_Name">'Order Form'!$E$2</definedName>
    <definedName name="Dealer_Order_No">'Order Form'!$J$2</definedName>
    <definedName name="DefaultLC">INDIRECT(Prefix &amp; "DefaultLC")</definedName>
    <definedName name="DefaultOnly">'Lookup Basswood'!$S$29</definedName>
    <definedName name="DeliverAddress">'Price Calculations'!$Y$68</definedName>
    <definedName name="DeliveryCharge">'Price Calculations'!$B$3</definedName>
    <definedName name="DeliveryChoice">'Order Form'!$J$6</definedName>
    <definedName name="DeliveryMethod">'Price Calculations'!$F$57:$F$58</definedName>
    <definedName name="DeliveryMethodPrice">INDIRECT(Prefix &amp; "DeliveryMethodPrice")</definedName>
    <definedName name="Discount">'Order Form'!$O$1</definedName>
    <definedName name="DropRow">'Price Calculations'!$A$70:$B$87</definedName>
    <definedName name="DTapeDesign">IF(AND(Form_Type&lt;&gt;"PureV",'Order Form'!K1048563="Yes"),NotReq,INDIRECT(Prefix &amp; "DTapeDesign"))</definedName>
    <definedName name="DuluxColours">'Order Form'!$G$20</definedName>
    <definedName name="EDR_Action1">EDR!$F$20</definedName>
    <definedName name="EDR_Action2">EDR!$F$21</definedName>
    <definedName name="EDR_Action3">EDR!$F$22</definedName>
    <definedName name="EDR_Action4">EDR!$F$23</definedName>
    <definedName name="EDR_Action5">EDR!$F$24</definedName>
    <definedName name="EDR_Action6">EDR!$F$25</definedName>
    <definedName name="EDR_Action7">EDR!$F$26</definedName>
    <definedName name="EDR_Action8">EDR!$F$27</definedName>
    <definedName name="EDR_Date">EDR!$G$9</definedName>
    <definedName name="EDR_Details1">EDR!$B$20</definedName>
    <definedName name="EDR_Details2">EDR!$B$21</definedName>
    <definedName name="EDR_Details3">EDR!$B$22</definedName>
    <definedName name="EDR_Details4">EDR!$B$23</definedName>
    <definedName name="EDR_Details5">EDR!$B$24</definedName>
    <definedName name="EDR_Details6">EDR!$B$25</definedName>
    <definedName name="EDR_Details7">EDR!$B$26</definedName>
    <definedName name="EDR_Details8">EDR!$B$27</definedName>
    <definedName name="EDR_Done1">EDR!$J$20</definedName>
    <definedName name="EDR_Done2">EDR!$J$21</definedName>
    <definedName name="EDR_Done3">EDR!$J$22</definedName>
    <definedName name="EDR_Done4">EDR!$J$23</definedName>
    <definedName name="EDR_Done5">EDR!$J$24</definedName>
    <definedName name="EDR_Done6">EDR!$J$25</definedName>
    <definedName name="EDR_Done7">EDR!$J$26</definedName>
    <definedName name="EDR_Done8">EDR!$J$27</definedName>
    <definedName name="EDR_Line1">EDR!$A$20</definedName>
    <definedName name="EDR_Line2">EDR!$A$21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Final_Date">'Price Calculations'!$D$5</definedName>
    <definedName name="Form_Type">'Price Calculations'!$B$4</definedName>
    <definedName name="HDBracket">INDIRECT(Prefix &amp; "HDBracket")</definedName>
    <definedName name="HeadrailFinish">INDIRECT(Prefix &amp; "HeadrailFinish")</definedName>
    <definedName name="LadderChoice">INDIRECT(Prefix &amp; "LadderChoice")</definedName>
    <definedName name="LadderColour">INDIRECT(Prefix &amp; "LadderColour")</definedName>
    <definedName name="LadderCord">INDIRECT(Prefix &amp; "laddercord")</definedName>
    <definedName name="LiftCord">INDIRECT(Prefix &amp; "LiftCord")</definedName>
    <definedName name="Materials">'Price Calculations'!$A$56:$A$56</definedName>
    <definedName name="mm_50.8mmColour">#REF!</definedName>
    <definedName name="mm_63.5mmColour">#REF!</definedName>
    <definedName name="mm_CenterCustomLColour">#REF!</definedName>
    <definedName name="mm_CentreLadderColour">#REF!</definedName>
    <definedName name="mm_Cleat">#REF!</definedName>
    <definedName name="mm_ClothTapeColours">#REF!</definedName>
    <definedName name="mm_Colour">#REF!</definedName>
    <definedName name="mm_ColourPrices">#REF!</definedName>
    <definedName name="mm_CustLadderColour">#REF!</definedName>
    <definedName name="mm_CutoutsPrices">#REF!</definedName>
    <definedName name="mm_DefaultLC">#REF!</definedName>
    <definedName name="mm_DeliveryMethod">#REF!</definedName>
    <definedName name="mm_DeliveryMethodPrice">#REF!</definedName>
    <definedName name="mm_DTapeDesign">#REF!</definedName>
    <definedName name="mm_DTapeDesignPrices">#REF!</definedName>
    <definedName name="mm_HeadrailFinish">#REF!</definedName>
    <definedName name="mm_HeadrailPrices">#REF!</definedName>
    <definedName name="mm_LadderChoice">#REF!</definedName>
    <definedName name="mm_LadderChoice2010">#REF!</definedName>
    <definedName name="mm_LadderChoicePrices">#REF!</definedName>
    <definedName name="mm_LadderColour">#REF!</definedName>
    <definedName name="mm_LadderColour2010">#REF!</definedName>
    <definedName name="mm_LadderColourPrices">#REF!</definedName>
    <definedName name="mm_LiftCord">#REF!</definedName>
    <definedName name="mm_LiftCordPrices">#REF!</definedName>
    <definedName name="mm_multipleblindsprices">#REF!</definedName>
    <definedName name="mm_Routless">#REF!</definedName>
    <definedName name="mm_RoutlessPrices">#REF!</definedName>
    <definedName name="mm_SizePrices">#REF!</definedName>
    <definedName name="mm_SizeType">#REF!</definedName>
    <definedName name="mm_SlatSize">#REF!</definedName>
    <definedName name="mm_SlatSizePrices">#REF!</definedName>
    <definedName name="mm_TiltCord">#REF!</definedName>
    <definedName name="mm_TiltCordPrices">#REF!</definedName>
    <definedName name="mm_ToggleDesign">#REF!</definedName>
    <definedName name="mm_ValanceDesign">#REF!</definedName>
    <definedName name="mm_ValanceDesignPrices">#REF!</definedName>
    <definedName name="mm_ValanceReturnsIB">#REF!</definedName>
    <definedName name="mm_ValanceReturnsOB">#REF!</definedName>
    <definedName name="mm_ValenceReturnPrices">#REF!</definedName>
    <definedName name="mm_Vogue64PriceTab">'Price Calculations'!#REF!</definedName>
    <definedName name="mm_VoguePriceTab">'Price Calculations'!#REF!</definedName>
    <definedName name="MultipleBlinds">INDIRECT(Prefix &amp; "MultipleBlinds")</definedName>
    <definedName name="Net_Freight_Value">EDR!$G$38</definedName>
    <definedName name="Net_Product_Value">EDR!$G$36</definedName>
    <definedName name="No">'Lookup Basswood'!$P$3</definedName>
    <definedName name="Notes">EDR!$J$28</definedName>
    <definedName name="NotReq">'Lookup Basswood'!$AB$3</definedName>
    <definedName name="Order_Date">'Order Form'!$N$4</definedName>
    <definedName name="pl_CentreCustomLColour">#REF!</definedName>
    <definedName name="pl_CentreLadderColour">#REF!</definedName>
    <definedName name="pl_Cleat">#REF!</definedName>
    <definedName name="pl_CleatPriceTab">#REF!</definedName>
    <definedName name="pl_ClothTapeColours">#REF!</definedName>
    <definedName name="pl_Colour">#REF!</definedName>
    <definedName name="pl_ColourPrices">#REF!</definedName>
    <definedName name="pl_CustLadderColour">#REF!</definedName>
    <definedName name="pl_Cutouts">#REF!</definedName>
    <definedName name="pl_CutoutsPrices">#REF!</definedName>
    <definedName name="pl_DefaultLC">#REF!</definedName>
    <definedName name="pl_DeliveryMethod">#REF!</definedName>
    <definedName name="pl_DeliveryMethodPrice">#REF!</definedName>
    <definedName name="pl_DTapeDesign">#REF!</definedName>
    <definedName name="pl_DTapeDesignPrices">#REF!</definedName>
    <definedName name="pl_HDBracket">#REF!</definedName>
    <definedName name="pl_HDBracketPrices">#REF!</definedName>
    <definedName name="pl_HeadrailFinish">#REF!</definedName>
    <definedName name="pl_HeadrailPrices">#REF!</definedName>
    <definedName name="pl_LadderChoice">#REF!</definedName>
    <definedName name="pl_LadderChoicePrices">#REF!</definedName>
    <definedName name="pl_LadderColour">#REF!</definedName>
    <definedName name="pl_LadderColourPrices">#REF!</definedName>
    <definedName name="pl_LiftCord">#REF!</definedName>
    <definedName name="pl_LiftCordPrices">#REF!</definedName>
    <definedName name="pl_MultipleBlinds">#REF!</definedName>
    <definedName name="pl_MultipleBlindsPrices">#REF!</definedName>
    <definedName name="pl_Routless">#REF!</definedName>
    <definedName name="pl_RoutlessPrices">#REF!</definedName>
    <definedName name="pl_SizePrices">#REF!</definedName>
    <definedName name="pl_SizeType">#REF!</definedName>
    <definedName name="pl_SlatSize">#REF!</definedName>
    <definedName name="pl_SlatSizePrices">#REF!</definedName>
    <definedName name="pl_TiltCord">#REF!</definedName>
    <definedName name="pl_TiltCordPrices">#REF!</definedName>
    <definedName name="pl_ToggleDesign">#REF!</definedName>
    <definedName name="pl_ToggleDesignPrices">#REF!</definedName>
    <definedName name="pl_ValanceDesign">#REF!</definedName>
    <definedName name="pl_ValanceDesignPrices">#REF!</definedName>
    <definedName name="pl_ValanceReturns">#REF!</definedName>
    <definedName name="pl_ValenceDesignPrices">#REF!</definedName>
    <definedName name="pl_ValenceReturnPrices">#REF!</definedName>
    <definedName name="Prefix">VLOOKUP(WoodType,'Price Calculations'!$A$56:$B$58,2,FALSE)</definedName>
    <definedName name="_xlnm.Print_Area" localSheetId="5">'Classic Grid'!#REF!</definedName>
    <definedName name="Promotext">'Order Form'!$B$41</definedName>
    <definedName name="Routless">INDIRECT(Prefix &amp; "Routless")</definedName>
    <definedName name="SC_ACno">'Order Form'!$E$4</definedName>
    <definedName name="SC_EDR_no">EDR!$G$5</definedName>
    <definedName name="SC_Order_No">'Order Form'!$N$2</definedName>
    <definedName name="SizeType">INDIRECT(Prefix &amp; "Sizetype")</definedName>
    <definedName name="SlatSize">INDIRECT(Prefix &amp; "SlatSize")</definedName>
    <definedName name="stpromotext">'Order Form'!$B$41</definedName>
    <definedName name="Sub_Total">'Order Form'!$O$39</definedName>
    <definedName name="SwatchColours">'Order Form'!$I$20</definedName>
    <definedName name="TiltCord">INDIRECT(Prefix &amp; "TiltCord")</definedName>
    <definedName name="ToggleDesign">INDIRECT(Prefix &amp; "ToggleDesign")</definedName>
    <definedName name="Total_Value">'Order Form'!$O$41</definedName>
    <definedName name="TotSqM">'Price Calculations'!$X$58</definedName>
    <definedName name="ValanceDesign">INDIRECT(Prefix &amp; "ValanceDesign")</definedName>
    <definedName name="ValanceReturns">INDIRECT(Prefix &amp; VLOOKUP('Order Form'!$E1048563,'Lookup Basswood'!$L$3:$N$4,2,FALSE) &amp; VLOOKUP('Order Form'!$G1048563,'Lookup Basswood'!$E$3:$F$4,2,FALSE) &amp;"ValanceReturns")</definedName>
    <definedName name="VAT">'Order Form'!$O$40</definedName>
    <definedName name="VAT_Rate">'Price Calculations'!$X$64</definedName>
    <definedName name="VAT_Text">'Order Form'!$M$40</definedName>
    <definedName name="Version">'Order Form'!$N$42</definedName>
    <definedName name="Vogue50Prices">#REF!</definedName>
    <definedName name="Vogue64Prices">#REF!</definedName>
    <definedName name="WidthColumn">'Price Calculations'!$D$70:$E$88</definedName>
    <definedName name="Wood_Type">'Price Calculations'!$D$2</definedName>
    <definedName name="WoodType">'Order Form'!$E$6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6" i="5" l="1"/>
  <c r="AV7" i="5"/>
  <c r="AV5" i="5"/>
  <c r="N9" i="7" l="1"/>
  <c r="N10" i="7"/>
  <c r="N11" i="7"/>
  <c r="N12" i="7"/>
  <c r="N13" i="7"/>
  <c r="N14" i="7"/>
  <c r="N15" i="7"/>
  <c r="N16" i="7"/>
  <c r="N17" i="7"/>
  <c r="N18" i="7"/>
  <c r="N8" i="7"/>
  <c r="F18" i="7"/>
  <c r="F33" i="7" s="1"/>
  <c r="G18" i="7"/>
  <c r="C18" i="7"/>
  <c r="C48" i="7" s="1"/>
  <c r="R9" i="7"/>
  <c r="F9" i="7"/>
  <c r="R24" i="7" s="1"/>
  <c r="R39" i="7" s="1"/>
  <c r="R10" i="7"/>
  <c r="F10" i="7"/>
  <c r="F25" i="7" s="1"/>
  <c r="R11" i="7"/>
  <c r="F11" i="7"/>
  <c r="F26" i="7" s="1"/>
  <c r="R12" i="7"/>
  <c r="F12" i="7"/>
  <c r="F27" i="7" s="1"/>
  <c r="R13" i="7"/>
  <c r="F13" i="7"/>
  <c r="R28" i="7" s="1"/>
  <c r="R43" i="7" s="1"/>
  <c r="R14" i="7"/>
  <c r="F14" i="7"/>
  <c r="F29" i="7" s="1"/>
  <c r="R15" i="7"/>
  <c r="F15" i="7"/>
  <c r="F30" i="7" s="1"/>
  <c r="R16" i="7"/>
  <c r="F16" i="7"/>
  <c r="F31" i="7" s="1"/>
  <c r="R17" i="7"/>
  <c r="F17" i="7"/>
  <c r="R32" i="7" s="1"/>
  <c r="R47" i="7" s="1"/>
  <c r="R18" i="7"/>
  <c r="R8" i="7"/>
  <c r="F8" i="7"/>
  <c r="O20" i="6"/>
  <c r="N4" i="13"/>
  <c r="N2" i="13"/>
  <c r="J6" i="13"/>
  <c r="J4" i="13"/>
  <c r="J2" i="13"/>
  <c r="E6" i="13"/>
  <c r="E4" i="13"/>
  <c r="E2" i="13"/>
  <c r="H23" i="13"/>
  <c r="H24" i="13"/>
  <c r="H25" i="13"/>
  <c r="H26" i="13"/>
  <c r="H27" i="13"/>
  <c r="H28" i="13"/>
  <c r="H29" i="13"/>
  <c r="H30" i="13"/>
  <c r="H31" i="13"/>
  <c r="H32" i="13"/>
  <c r="H33" i="13"/>
  <c r="D8" i="7"/>
  <c r="D9" i="7"/>
  <c r="B1" i="7"/>
  <c r="O25" i="6"/>
  <c r="O26" i="6"/>
  <c r="O27" i="6"/>
  <c r="O28" i="6"/>
  <c r="O29" i="6"/>
  <c r="O30" i="6"/>
  <c r="O31" i="6"/>
  <c r="O32" i="6"/>
  <c r="D18" i="7"/>
  <c r="D33" i="7" s="1"/>
  <c r="D48" i="7" s="1"/>
  <c r="J18" i="7"/>
  <c r="J33" i="7" s="1"/>
  <c r="G33" i="7"/>
  <c r="L18" i="7"/>
  <c r="L33" i="7" s="1"/>
  <c r="O33" i="6"/>
  <c r="L8" i="7"/>
  <c r="K18" i="7"/>
  <c r="U18" i="7"/>
  <c r="U33" i="7" s="1"/>
  <c r="U48" i="7" s="1"/>
  <c r="V18" i="7"/>
  <c r="V33" i="7" s="1"/>
  <c r="V48" i="7" s="1"/>
  <c r="J17" i="7"/>
  <c r="J32" i="7" s="1"/>
  <c r="G17" i="7"/>
  <c r="G32" i="7" s="1"/>
  <c r="K17" i="7"/>
  <c r="K32" i="7" s="1"/>
  <c r="C17" i="7"/>
  <c r="L17" i="7"/>
  <c r="L32" i="7" s="1"/>
  <c r="U17" i="7"/>
  <c r="U32" i="7" s="1"/>
  <c r="U47" i="7" s="1"/>
  <c r="V17" i="7"/>
  <c r="V32" i="7" s="1"/>
  <c r="V47" i="7" s="1"/>
  <c r="D17" i="7"/>
  <c r="D32" i="7" s="1"/>
  <c r="D47" i="7" s="1"/>
  <c r="X47" i="7" s="1"/>
  <c r="J16" i="7"/>
  <c r="J31" i="7" s="1"/>
  <c r="G16" i="7"/>
  <c r="G31" i="7" s="1"/>
  <c r="K16" i="7"/>
  <c r="K31" i="7" s="1"/>
  <c r="C16" i="7"/>
  <c r="L16" i="7"/>
  <c r="L31" i="7" s="1"/>
  <c r="U16" i="7"/>
  <c r="U31" i="7" s="1"/>
  <c r="U46" i="7" s="1"/>
  <c r="V16" i="7"/>
  <c r="V31" i="7" s="1"/>
  <c r="V46" i="7" s="1"/>
  <c r="D16" i="7"/>
  <c r="D31" i="7" s="1"/>
  <c r="D46" i="7" s="1"/>
  <c r="J15" i="7"/>
  <c r="J30" i="7" s="1"/>
  <c r="G15" i="7"/>
  <c r="G30" i="7" s="1"/>
  <c r="K15" i="7"/>
  <c r="K30" i="7" s="1"/>
  <c r="C15" i="7"/>
  <c r="L15" i="7"/>
  <c r="L30" i="7" s="1"/>
  <c r="U15" i="7"/>
  <c r="U30" i="7" s="1"/>
  <c r="U45" i="7" s="1"/>
  <c r="V15" i="7"/>
  <c r="V30" i="7" s="1"/>
  <c r="V45" i="7" s="1"/>
  <c r="D15" i="7"/>
  <c r="D30" i="7" s="1"/>
  <c r="D45" i="7" s="1"/>
  <c r="J14" i="7"/>
  <c r="J29" i="7" s="1"/>
  <c r="G14" i="7"/>
  <c r="G29" i="7" s="1"/>
  <c r="K14" i="7"/>
  <c r="C14" i="7"/>
  <c r="L14" i="7"/>
  <c r="L29" i="7" s="1"/>
  <c r="U14" i="7"/>
  <c r="U29" i="7" s="1"/>
  <c r="U44" i="7" s="1"/>
  <c r="V14" i="7"/>
  <c r="V29" i="7" s="1"/>
  <c r="V44" i="7" s="1"/>
  <c r="D14" i="7"/>
  <c r="D29" i="7" s="1"/>
  <c r="D44" i="7" s="1"/>
  <c r="J13" i="7"/>
  <c r="J28" i="7" s="1"/>
  <c r="G13" i="7"/>
  <c r="G28" i="7" s="1"/>
  <c r="K13" i="7"/>
  <c r="K28" i="7" s="1"/>
  <c r="C13" i="7"/>
  <c r="L13" i="7"/>
  <c r="L28" i="7" s="1"/>
  <c r="U13" i="7"/>
  <c r="U28" i="7" s="1"/>
  <c r="U43" i="7" s="1"/>
  <c r="V13" i="7"/>
  <c r="V28" i="7" s="1"/>
  <c r="V43" i="7" s="1"/>
  <c r="D13" i="7"/>
  <c r="D28" i="7" s="1"/>
  <c r="D43" i="7" s="1"/>
  <c r="J12" i="7"/>
  <c r="J27" i="7" s="1"/>
  <c r="G12" i="7"/>
  <c r="G27" i="7" s="1"/>
  <c r="K12" i="7"/>
  <c r="K27" i="7" s="1"/>
  <c r="C12" i="7"/>
  <c r="L12" i="7"/>
  <c r="L27" i="7" s="1"/>
  <c r="U12" i="7"/>
  <c r="U27" i="7" s="1"/>
  <c r="U42" i="7" s="1"/>
  <c r="V12" i="7"/>
  <c r="V27" i="7" s="1"/>
  <c r="V42" i="7" s="1"/>
  <c r="D12" i="7"/>
  <c r="D27" i="7" s="1"/>
  <c r="D42" i="7" s="1"/>
  <c r="X42" i="7" s="1"/>
  <c r="J11" i="7"/>
  <c r="J26" i="7" s="1"/>
  <c r="G11" i="7"/>
  <c r="G26" i="7" s="1"/>
  <c r="K11" i="7"/>
  <c r="K26" i="7" s="1"/>
  <c r="C11" i="7"/>
  <c r="L11" i="7"/>
  <c r="L26" i="7" s="1"/>
  <c r="U11" i="7"/>
  <c r="U26" i="7" s="1"/>
  <c r="U41" i="7" s="1"/>
  <c r="V11" i="7"/>
  <c r="V26" i="7" s="1"/>
  <c r="V41" i="7" s="1"/>
  <c r="D11" i="7"/>
  <c r="D26" i="7" s="1"/>
  <c r="D41" i="7" s="1"/>
  <c r="J10" i="7"/>
  <c r="J25" i="7" s="1"/>
  <c r="G10" i="7"/>
  <c r="K10" i="7"/>
  <c r="K25" i="7" s="1"/>
  <c r="C10" i="7"/>
  <c r="L10" i="7"/>
  <c r="L25" i="7" s="1"/>
  <c r="U10" i="7"/>
  <c r="U25" i="7" s="1"/>
  <c r="U40" i="7" s="1"/>
  <c r="V10" i="7"/>
  <c r="V25" i="7" s="1"/>
  <c r="V40" i="7" s="1"/>
  <c r="D10" i="7"/>
  <c r="D25" i="7" s="1"/>
  <c r="D40" i="7" s="1"/>
  <c r="J9" i="7"/>
  <c r="G9" i="7"/>
  <c r="G24" i="7" s="1"/>
  <c r="K9" i="7"/>
  <c r="C9" i="7"/>
  <c r="L9" i="7"/>
  <c r="U9" i="7"/>
  <c r="V9" i="7"/>
  <c r="J8" i="7"/>
  <c r="G8" i="7"/>
  <c r="G23" i="7" s="1"/>
  <c r="K8" i="7"/>
  <c r="C8" i="7"/>
  <c r="C38" i="7" s="1"/>
  <c r="U8" i="7"/>
  <c r="V8" i="7"/>
  <c r="Y68" i="7"/>
  <c r="D34" i="16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I24" i="13"/>
  <c r="I25" i="13"/>
  <c r="I26" i="13"/>
  <c r="I27" i="13"/>
  <c r="I28" i="13"/>
  <c r="I29" i="13"/>
  <c r="I30" i="13"/>
  <c r="I31" i="13"/>
  <c r="I32" i="13"/>
  <c r="I33" i="13"/>
  <c r="I23" i="13"/>
  <c r="G24" i="13"/>
  <c r="G25" i="13"/>
  <c r="G26" i="13"/>
  <c r="G27" i="13"/>
  <c r="G28" i="13"/>
  <c r="G29" i="13"/>
  <c r="G30" i="13"/>
  <c r="G31" i="13"/>
  <c r="G32" i="13"/>
  <c r="G33" i="13"/>
  <c r="G23" i="13"/>
  <c r="C23" i="13"/>
  <c r="D23" i="13"/>
  <c r="E23" i="13"/>
  <c r="F23" i="13"/>
  <c r="C24" i="13"/>
  <c r="D24" i="13"/>
  <c r="E24" i="13"/>
  <c r="F24" i="13"/>
  <c r="C25" i="13"/>
  <c r="D25" i="13"/>
  <c r="E25" i="13"/>
  <c r="F25" i="13"/>
  <c r="C26" i="13"/>
  <c r="D26" i="13"/>
  <c r="E26" i="13"/>
  <c r="F26" i="13"/>
  <c r="C27" i="13"/>
  <c r="D27" i="13"/>
  <c r="E27" i="13"/>
  <c r="F27" i="13"/>
  <c r="C28" i="13"/>
  <c r="D28" i="13"/>
  <c r="E28" i="13"/>
  <c r="F28" i="13"/>
  <c r="C29" i="13"/>
  <c r="D29" i="13"/>
  <c r="E29" i="13"/>
  <c r="F29" i="13"/>
  <c r="C30" i="13"/>
  <c r="D30" i="13"/>
  <c r="E30" i="13"/>
  <c r="F30" i="13"/>
  <c r="C31" i="13"/>
  <c r="D31" i="13"/>
  <c r="E31" i="13"/>
  <c r="F31" i="13"/>
  <c r="C32" i="13"/>
  <c r="D32" i="13"/>
  <c r="E32" i="13"/>
  <c r="F32" i="13"/>
  <c r="C33" i="13"/>
  <c r="D33" i="13"/>
  <c r="E33" i="13"/>
  <c r="F33" i="13"/>
  <c r="D22" i="13"/>
  <c r="E22" i="13"/>
  <c r="F22" i="13"/>
  <c r="H19" i="13"/>
  <c r="I19" i="13"/>
  <c r="H20" i="13"/>
  <c r="I20" i="13"/>
  <c r="G20" i="13"/>
  <c r="D8" i="13"/>
  <c r="E8" i="13"/>
  <c r="F8" i="13"/>
  <c r="G8" i="13"/>
  <c r="H8" i="13"/>
  <c r="I8" i="13"/>
  <c r="J8" i="13"/>
  <c r="K8" i="13"/>
  <c r="L8" i="13"/>
  <c r="M8" i="13"/>
  <c r="N8" i="13"/>
  <c r="O8" i="13"/>
  <c r="D9" i="13"/>
  <c r="E9" i="13"/>
  <c r="F9" i="13"/>
  <c r="G9" i="13"/>
  <c r="H9" i="13"/>
  <c r="I9" i="13"/>
  <c r="K9" i="13"/>
  <c r="L9" i="13"/>
  <c r="M9" i="13"/>
  <c r="N9" i="13"/>
  <c r="O9" i="13"/>
  <c r="D10" i="13"/>
  <c r="E10" i="13"/>
  <c r="F10" i="13"/>
  <c r="G10" i="13"/>
  <c r="H10" i="13"/>
  <c r="I10" i="13"/>
  <c r="K10" i="13"/>
  <c r="L10" i="13"/>
  <c r="M10" i="13"/>
  <c r="N10" i="13"/>
  <c r="O10" i="13"/>
  <c r="D11" i="13"/>
  <c r="E11" i="13"/>
  <c r="F11" i="13"/>
  <c r="G11" i="13"/>
  <c r="H11" i="13"/>
  <c r="I11" i="13"/>
  <c r="K11" i="13"/>
  <c r="L11" i="13"/>
  <c r="M11" i="13"/>
  <c r="N11" i="13"/>
  <c r="O11" i="13"/>
  <c r="D12" i="13"/>
  <c r="E12" i="13"/>
  <c r="F12" i="13"/>
  <c r="G12" i="13"/>
  <c r="H12" i="13"/>
  <c r="I12" i="13"/>
  <c r="K12" i="13"/>
  <c r="L12" i="13"/>
  <c r="M12" i="13"/>
  <c r="N12" i="13"/>
  <c r="O12" i="13"/>
  <c r="D13" i="13"/>
  <c r="E13" i="13"/>
  <c r="F13" i="13"/>
  <c r="G13" i="13"/>
  <c r="H13" i="13"/>
  <c r="I13" i="13"/>
  <c r="K13" i="13"/>
  <c r="L13" i="13"/>
  <c r="M13" i="13"/>
  <c r="N13" i="13"/>
  <c r="O13" i="13"/>
  <c r="D14" i="13"/>
  <c r="E14" i="13"/>
  <c r="F14" i="13"/>
  <c r="G14" i="13"/>
  <c r="H14" i="13"/>
  <c r="I14" i="13"/>
  <c r="K14" i="13"/>
  <c r="L14" i="13"/>
  <c r="M14" i="13"/>
  <c r="N14" i="13"/>
  <c r="O14" i="13"/>
  <c r="D15" i="13"/>
  <c r="E15" i="13"/>
  <c r="F15" i="13"/>
  <c r="G15" i="13"/>
  <c r="H15" i="13"/>
  <c r="I15" i="13"/>
  <c r="K15" i="13"/>
  <c r="L15" i="13"/>
  <c r="M15" i="13"/>
  <c r="N15" i="13"/>
  <c r="O15" i="13"/>
  <c r="D16" i="13"/>
  <c r="E16" i="13"/>
  <c r="F16" i="13"/>
  <c r="G16" i="13"/>
  <c r="H16" i="13"/>
  <c r="I16" i="13"/>
  <c r="K16" i="13"/>
  <c r="L16" i="13"/>
  <c r="M16" i="13"/>
  <c r="N16" i="13"/>
  <c r="O16" i="13"/>
  <c r="D17" i="13"/>
  <c r="E17" i="13"/>
  <c r="F17" i="13"/>
  <c r="G17" i="13"/>
  <c r="H17" i="13"/>
  <c r="I17" i="13"/>
  <c r="K17" i="13"/>
  <c r="L17" i="13"/>
  <c r="M17" i="13"/>
  <c r="N17" i="13"/>
  <c r="O17" i="13"/>
  <c r="D18" i="13"/>
  <c r="E18" i="13"/>
  <c r="F18" i="13"/>
  <c r="G18" i="13"/>
  <c r="H18" i="13"/>
  <c r="I18" i="13"/>
  <c r="K18" i="13"/>
  <c r="L18" i="13"/>
  <c r="M18" i="13"/>
  <c r="N18" i="13"/>
  <c r="O18" i="13"/>
  <c r="D19" i="13"/>
  <c r="E19" i="13"/>
  <c r="F19" i="13"/>
  <c r="G19" i="13"/>
  <c r="K19" i="13"/>
  <c r="L19" i="13"/>
  <c r="M19" i="13"/>
  <c r="N19" i="13"/>
  <c r="O19" i="13"/>
  <c r="C9" i="13"/>
  <c r="C10" i="13"/>
  <c r="C11" i="13"/>
  <c r="C12" i="13"/>
  <c r="C13" i="13"/>
  <c r="C14" i="13"/>
  <c r="C15" i="13"/>
  <c r="C16" i="13"/>
  <c r="C17" i="13"/>
  <c r="C18" i="13"/>
  <c r="C19" i="13"/>
  <c r="C8" i="13"/>
  <c r="K36" i="13"/>
  <c r="K35" i="13" s="1"/>
  <c r="D1" i="13"/>
  <c r="B1" i="13"/>
  <c r="S22" i="7"/>
  <c r="Q9" i="7"/>
  <c r="Q24" i="7" s="1"/>
  <c r="Q10" i="7"/>
  <c r="Q25" i="7" s="1"/>
  <c r="Q40" i="7" s="1"/>
  <c r="Q11" i="7"/>
  <c r="Q26" i="7" s="1"/>
  <c r="Q41" i="7" s="1"/>
  <c r="Q12" i="7"/>
  <c r="Q13" i="7"/>
  <c r="Q28" i="7" s="1"/>
  <c r="Q43" i="7" s="1"/>
  <c r="Q14" i="7"/>
  <c r="Q29" i="7" s="1"/>
  <c r="Q44" i="7" s="1"/>
  <c r="Q15" i="7"/>
  <c r="Q30" i="7" s="1"/>
  <c r="Q45" i="7" s="1"/>
  <c r="Q16" i="7"/>
  <c r="Q17" i="7"/>
  <c r="Q32" i="7" s="1"/>
  <c r="Q47" i="7" s="1"/>
  <c r="Q18" i="7"/>
  <c r="Q33" i="7" s="1"/>
  <c r="Q48" i="7" s="1"/>
  <c r="Q8" i="7"/>
  <c r="Q23" i="7" s="1"/>
  <c r="S7" i="7"/>
  <c r="S9" i="7"/>
  <c r="S10" i="7"/>
  <c r="S11" i="7"/>
  <c r="S12" i="7"/>
  <c r="S13" i="7"/>
  <c r="S14" i="7"/>
  <c r="S15" i="7"/>
  <c r="S16" i="7"/>
  <c r="S17" i="7"/>
  <c r="S18" i="7"/>
  <c r="S8" i="7"/>
  <c r="O38" i="6"/>
  <c r="H29" i="7"/>
  <c r="V55" i="7"/>
  <c r="M38" i="6"/>
  <c r="L36" i="6"/>
  <c r="L35" i="6" s="1"/>
  <c r="D1" i="6"/>
  <c r="B3" i="12"/>
  <c r="G7" i="12"/>
  <c r="G11" i="12"/>
  <c r="G13" i="12"/>
  <c r="G15" i="12"/>
  <c r="A38" i="12"/>
  <c r="A39" i="12"/>
  <c r="D46" i="12"/>
  <c r="J22" i="6"/>
  <c r="K22" i="6"/>
  <c r="B2" i="7"/>
  <c r="B4" i="7" s="1"/>
  <c r="S37" i="7"/>
  <c r="C22" i="13"/>
  <c r="D4" i="7"/>
  <c r="B1" i="6"/>
  <c r="A12" i="7"/>
  <c r="A27" i="7" s="1"/>
  <c r="A42" i="7" s="1"/>
  <c r="A13" i="7"/>
  <c r="A28" i="7" s="1"/>
  <c r="A43" i="7" s="1"/>
  <c r="A14" i="7"/>
  <c r="A29" i="7" s="1"/>
  <c r="A44" i="7" s="1"/>
  <c r="A15" i="7"/>
  <c r="A30" i="7" s="1"/>
  <c r="A45" i="7" s="1"/>
  <c r="A16" i="7"/>
  <c r="A31" i="7" s="1"/>
  <c r="A46" i="7" s="1"/>
  <c r="A17" i="7"/>
  <c r="A32" i="7" s="1"/>
  <c r="A47" i="7" s="1"/>
  <c r="A18" i="7"/>
  <c r="A33" i="7" s="1"/>
  <c r="A48" i="7" s="1"/>
  <c r="B12" i="7"/>
  <c r="E12" i="7"/>
  <c r="I12" i="7"/>
  <c r="M12" i="7"/>
  <c r="O12" i="7"/>
  <c r="P12" i="7"/>
  <c r="T12" i="7"/>
  <c r="B13" i="7"/>
  <c r="E13" i="7"/>
  <c r="I13" i="7"/>
  <c r="M13" i="7"/>
  <c r="O13" i="7"/>
  <c r="P13" i="7"/>
  <c r="T13" i="7"/>
  <c r="B14" i="7"/>
  <c r="E14" i="7"/>
  <c r="I14" i="7"/>
  <c r="M14" i="7"/>
  <c r="O14" i="7"/>
  <c r="P14" i="7"/>
  <c r="T14" i="7"/>
  <c r="B15" i="7"/>
  <c r="E15" i="7"/>
  <c r="I15" i="7"/>
  <c r="M15" i="7"/>
  <c r="O15" i="7"/>
  <c r="P15" i="7"/>
  <c r="T15" i="7"/>
  <c r="B16" i="7"/>
  <c r="E16" i="7"/>
  <c r="I16" i="7"/>
  <c r="M16" i="7"/>
  <c r="O16" i="7"/>
  <c r="P16" i="7"/>
  <c r="T16" i="7"/>
  <c r="B17" i="7"/>
  <c r="E17" i="7"/>
  <c r="I17" i="7"/>
  <c r="M17" i="7"/>
  <c r="O17" i="7"/>
  <c r="P17" i="7"/>
  <c r="T17" i="7"/>
  <c r="B18" i="7"/>
  <c r="E18" i="7"/>
  <c r="I18" i="7"/>
  <c r="M18" i="7"/>
  <c r="O18" i="7"/>
  <c r="P18" i="7"/>
  <c r="T18" i="7"/>
  <c r="P8" i="7"/>
  <c r="T8" i="7"/>
  <c r="P9" i="7"/>
  <c r="T9" i="7"/>
  <c r="P10" i="7"/>
  <c r="T10" i="7"/>
  <c r="P11" i="7"/>
  <c r="T11" i="7"/>
  <c r="O9" i="7"/>
  <c r="O10" i="7"/>
  <c r="O11" i="7"/>
  <c r="O8" i="7"/>
  <c r="A9" i="7"/>
  <c r="A24" i="7" s="1"/>
  <c r="A39" i="7" s="1"/>
  <c r="A10" i="7"/>
  <c r="A25" i="7" s="1"/>
  <c r="A40" i="7" s="1"/>
  <c r="A11" i="7"/>
  <c r="A26" i="7" s="1"/>
  <c r="A41" i="7" s="1"/>
  <c r="A8" i="7"/>
  <c r="A23" i="7" s="1"/>
  <c r="A38" i="7" s="1"/>
  <c r="M8" i="7"/>
  <c r="M9" i="7"/>
  <c r="M10" i="7"/>
  <c r="M11" i="7"/>
  <c r="I9" i="7"/>
  <c r="I10" i="7"/>
  <c r="I11" i="7"/>
  <c r="I8" i="7"/>
  <c r="B8" i="7"/>
  <c r="E8" i="7"/>
  <c r="B9" i="7"/>
  <c r="E9" i="7"/>
  <c r="B10" i="7"/>
  <c r="E10" i="7"/>
  <c r="B11" i="7"/>
  <c r="E11" i="7"/>
  <c r="H26" i="7"/>
  <c r="C41" i="7"/>
  <c r="C26" i="7"/>
  <c r="H28" i="7"/>
  <c r="C43" i="7"/>
  <c r="C28" i="7"/>
  <c r="H30" i="7"/>
  <c r="C45" i="7"/>
  <c r="C30" i="7"/>
  <c r="H32" i="7"/>
  <c r="C47" i="7"/>
  <c r="C32" i="7"/>
  <c r="H25" i="7"/>
  <c r="C40" i="7"/>
  <c r="C25" i="7"/>
  <c r="H27" i="7"/>
  <c r="C42" i="7"/>
  <c r="C27" i="7"/>
  <c r="C44" i="7"/>
  <c r="C29" i="7"/>
  <c r="H31" i="7"/>
  <c r="C46" i="7"/>
  <c r="C31" i="7"/>
  <c r="H33" i="7"/>
  <c r="I35" i="13"/>
  <c r="H35" i="6"/>
  <c r="C23" i="7"/>
  <c r="Q27" i="7"/>
  <c r="Q42" i="7" s="1"/>
  <c r="Q31" i="7"/>
  <c r="Q46" i="7" s="1"/>
  <c r="H12" i="7"/>
  <c r="J13" i="6" s="1"/>
  <c r="J13" i="13" s="1"/>
  <c r="K33" i="7"/>
  <c r="K29" i="7"/>
  <c r="L24" i="7"/>
  <c r="U23" i="7"/>
  <c r="J23" i="7"/>
  <c r="U24" i="7"/>
  <c r="J24" i="7"/>
  <c r="K24" i="7"/>
  <c r="D23" i="7"/>
  <c r="V24" i="7"/>
  <c r="D24" i="7"/>
  <c r="K23" i="7"/>
  <c r="L23" i="7"/>
  <c r="V23" i="7"/>
  <c r="H48" i="7"/>
  <c r="V39" i="7" l="1"/>
  <c r="U39" i="7"/>
  <c r="D39" i="7"/>
  <c r="X39" i="7" s="1"/>
  <c r="V38" i="7"/>
  <c r="U38" i="7"/>
  <c r="H9" i="7"/>
  <c r="J10" i="6" s="1"/>
  <c r="J10" i="13" s="1"/>
  <c r="F24" i="7"/>
  <c r="C33" i="7"/>
  <c r="R33" i="7"/>
  <c r="R48" i="7" s="1"/>
  <c r="H16" i="7"/>
  <c r="J17" i="6" s="1"/>
  <c r="J17" i="13" s="1"/>
  <c r="F32" i="7"/>
  <c r="F28" i="7"/>
  <c r="R23" i="7"/>
  <c r="R38" i="7" s="1"/>
  <c r="R30" i="7"/>
  <c r="R45" i="7" s="1"/>
  <c r="R29" i="7"/>
  <c r="R44" i="7" s="1"/>
  <c r="H18" i="7"/>
  <c r="J19" i="6" s="1"/>
  <c r="J19" i="13" s="1"/>
  <c r="H13" i="7"/>
  <c r="J14" i="6" s="1"/>
  <c r="J14" i="13" s="1"/>
  <c r="F23" i="7"/>
  <c r="C39" i="7"/>
  <c r="H10" i="7"/>
  <c r="J11" i="6" s="1"/>
  <c r="J11" i="13" s="1"/>
  <c r="R31" i="7"/>
  <c r="R46" i="7" s="1"/>
  <c r="H14" i="7"/>
  <c r="J15" i="6" s="1"/>
  <c r="J15" i="13" s="1"/>
  <c r="R26" i="7"/>
  <c r="R41" i="7" s="1"/>
  <c r="R25" i="7"/>
  <c r="R40" i="7" s="1"/>
  <c r="D52" i="7"/>
  <c r="D53" i="7"/>
  <c r="D38" i="7"/>
  <c r="X38" i="7" s="1"/>
  <c r="H8" i="7"/>
  <c r="H23" i="7" s="1"/>
  <c r="C24" i="7"/>
  <c r="G25" i="7"/>
  <c r="R27" i="7"/>
  <c r="R42" i="7" s="1"/>
  <c r="H11" i="7"/>
  <c r="J12" i="6" s="1"/>
  <c r="J12" i="13" s="1"/>
  <c r="H17" i="7"/>
  <c r="J18" i="6" s="1"/>
  <c r="J18" i="13" s="1"/>
  <c r="D50" i="7"/>
  <c r="H15" i="7"/>
  <c r="J16" i="6" s="1"/>
  <c r="J16" i="13" s="1"/>
  <c r="W42" i="7"/>
  <c r="AB42" i="7" s="1"/>
  <c r="W47" i="7"/>
  <c r="AB47" i="7" s="1"/>
  <c r="X45" i="7"/>
  <c r="W45" i="7"/>
  <c r="AB45" i="7" s="1"/>
  <c r="X44" i="7"/>
  <c r="W44" i="7"/>
  <c r="AB44" i="7" s="1"/>
  <c r="L48" i="7"/>
  <c r="Y48" i="7" s="1"/>
  <c r="X46" i="7"/>
  <c r="W46" i="7"/>
  <c r="W40" i="7"/>
  <c r="X40" i="7"/>
  <c r="X41" i="7"/>
  <c r="W41" i="7"/>
  <c r="X43" i="7"/>
  <c r="W43" i="7"/>
  <c r="X48" i="7"/>
  <c r="W48" i="7"/>
  <c r="H41" i="7"/>
  <c r="H44" i="7"/>
  <c r="H47" i="7"/>
  <c r="H42" i="7"/>
  <c r="H40" i="7"/>
  <c r="H39" i="7"/>
  <c r="H38" i="7"/>
  <c r="H46" i="7"/>
  <c r="H43" i="7"/>
  <c r="H45" i="7"/>
  <c r="H24" i="7" l="1"/>
  <c r="Q39" i="7"/>
  <c r="Q38" i="7"/>
  <c r="L39" i="7"/>
  <c r="L38" i="7"/>
  <c r="L40" i="7"/>
  <c r="Y40" i="7" s="1"/>
  <c r="Z40" i="7" s="1"/>
  <c r="N25" i="6" s="1"/>
  <c r="L44" i="7"/>
  <c r="Y44" i="7" s="1"/>
  <c r="Z44" i="7" s="1"/>
  <c r="N29" i="6" s="1"/>
  <c r="L47" i="7"/>
  <c r="Y47" i="7" s="1"/>
  <c r="Z47" i="7" s="1"/>
  <c r="AA47" i="7" s="1"/>
  <c r="L43" i="7"/>
  <c r="Y43" i="7" s="1"/>
  <c r="Z43" i="7" s="1"/>
  <c r="N28" i="6" s="1"/>
  <c r="L46" i="7"/>
  <c r="Y46" i="7" s="1"/>
  <c r="Z46" i="7" s="1"/>
  <c r="N31" i="6" s="1"/>
  <c r="L42" i="7"/>
  <c r="Y42" i="7" s="1"/>
  <c r="Z42" i="7" s="1"/>
  <c r="N27" i="6" s="1"/>
  <c r="L45" i="7"/>
  <c r="Y45" i="7" s="1"/>
  <c r="Z45" i="7" s="1"/>
  <c r="N30" i="6" s="1"/>
  <c r="L41" i="7"/>
  <c r="Y41" i="7" s="1"/>
  <c r="Z41" i="7" s="1"/>
  <c r="N26" i="6" s="1"/>
  <c r="H19" i="7"/>
  <c r="J9" i="6"/>
  <c r="D54" i="7"/>
  <c r="O35" i="6" s="1"/>
  <c r="AB43" i="7"/>
  <c r="AB48" i="7"/>
  <c r="Z48" i="7"/>
  <c r="N33" i="6" s="1"/>
  <c r="AB41" i="7"/>
  <c r="AB40" i="7"/>
  <c r="AB46" i="7"/>
  <c r="Y39" i="7" l="1"/>
  <c r="W39" i="7"/>
  <c r="AB39" i="7" s="1"/>
  <c r="Y38" i="7"/>
  <c r="W38" i="7"/>
  <c r="AB38" i="7" s="1"/>
  <c r="A1" i="6"/>
  <c r="A1" i="13"/>
  <c r="X58" i="7"/>
  <c r="J9" i="13"/>
  <c r="J20" i="6"/>
  <c r="J20" i="13" s="1"/>
  <c r="AA44" i="7"/>
  <c r="AA45" i="7"/>
  <c r="N32" i="6"/>
  <c r="AA42" i="7"/>
  <c r="AA46" i="7"/>
  <c r="AA40" i="7"/>
  <c r="AA41" i="7"/>
  <c r="AA48" i="7"/>
  <c r="AA43" i="7"/>
  <c r="Z39" i="7" l="1"/>
  <c r="AB51" i="7"/>
  <c r="X61" i="7" s="1"/>
  <c r="O37" i="6" s="1"/>
  <c r="Z38" i="7"/>
  <c r="N23" i="6" s="1"/>
  <c r="AA39" i="7" l="1"/>
  <c r="O24" i="6" s="1"/>
  <c r="N24" i="6"/>
  <c r="AA38" i="7"/>
  <c r="AA51" i="7" l="1"/>
  <c r="O23" i="6"/>
  <c r="X55" i="7"/>
  <c r="X60" i="7" l="1"/>
  <c r="X62" i="7" s="1"/>
  <c r="X66" i="7" l="1"/>
  <c r="O39" i="6" s="1"/>
  <c r="O40" i="6" s="1"/>
  <c r="O41" i="6" s="1"/>
  <c r="O3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0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000-000003000000}">
      <text>
        <r>
          <rPr>
            <sz val="8"/>
            <color indexed="81"/>
            <rFont val="Tahoma"/>
            <family val="2"/>
          </rPr>
          <t>If a custom colour is chosen then the price will be POA (Price on application). Please advise name of source pallete.</t>
        </r>
      </text>
    </comment>
    <comment ref="G8" authorId="0" shapeId="0" xr:uid="{00000000-0006-0000-00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K8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0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0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G22" authorId="3" shapeId="0" xr:uid="{00000000-0006-0000-0000-000008000000}">
      <text>
        <r>
          <rPr>
            <sz val="9"/>
            <color indexed="81"/>
            <rFont val="Tahoma"/>
            <family val="2"/>
          </rPr>
          <t>63.5mm Ramp and 63.5mm Catenary are standard valances; other designs have a 10% surcharge</t>
        </r>
      </text>
    </comment>
    <comment ref="H22" authorId="3" shapeId="0" xr:uid="{00000000-0006-0000-0000-000009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000-00000A000000}">
      <text>
        <r>
          <rPr>
            <sz val="8"/>
            <color indexed="81"/>
            <rFont val="Tahoma"/>
            <family val="2"/>
          </rPr>
          <t>The toggle on the raise/lower cords is a wooden non breakable toggle. If a plastic safety toggle is required please specify this in the special notes.</t>
        </r>
      </text>
    </comment>
    <comment ref="J22" authorId="0" shapeId="0" xr:uid="{00000000-0006-0000-0000-00000B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000-00000C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O22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If Total is '?' then specification is incomplete. Please complete all details to value the line.
</t>
        </r>
      </text>
    </comment>
    <comment ref="B36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6" authorId="2" shapeId="0" xr:uid="{00000000-0006-0000-0000-00000F000000}">
      <text>
        <r>
          <rPr>
            <sz val="9"/>
            <color indexed="81"/>
            <rFont val="Tahoma"/>
            <family val="2"/>
          </rPr>
          <t>We can ship orders together if you list your reference numbers here</t>
        </r>
      </text>
    </comment>
    <comment ref="O39" authorId="2" shapeId="0" xr:uid="{00000000-0006-0000-0000-000010000000}">
      <text>
        <r>
          <rPr>
            <sz val="8"/>
            <color indexed="81"/>
            <rFont val="Tahoma"/>
            <family val="2"/>
          </rPr>
          <t>This box is blue until the minimum order charge has been reached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1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If a custom colour is chosen then the price will be POA (Price on application). Please advise name of source pallete. </t>
        </r>
      </text>
    </comment>
    <comment ref="G8" authorId="0" shapeId="0" xr:uid="{00000000-0006-0000-01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M8" authorId="0" shapeId="0" xr:uid="{00000000-0006-0000-01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1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1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H22" authorId="3" shapeId="0" xr:uid="{00000000-0006-0000-0100-000008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100-000009000000}">
      <text>
        <r>
          <rPr>
            <sz val="8"/>
            <color indexed="81"/>
            <rFont val="Tahoma"/>
            <family val="2"/>
          </rPr>
          <t>If ordering Vogue: Type in the number of brackets required  for each blind.  This will be multiplied by the quantity.
For Classic blinds only: 
The toggle on the raise/lower cords is a wooden non breakable toggle. If a plastic safety toggle is required please specify this in the special notes.</t>
        </r>
      </text>
    </comment>
    <comment ref="J22" authorId="0" shapeId="0" xr:uid="{00000000-0006-0000-0100-00000A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100-00000B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I36" authorId="1" shapeId="0" xr:uid="{00000000-0006-0000-0100-00000C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<sst xmlns="http://schemas.openxmlformats.org/spreadsheetml/2006/main" count="620" uniqueCount="350">
  <si>
    <t>Room</t>
  </si>
  <si>
    <t>Decorative Tape Design</t>
  </si>
  <si>
    <t>CB001</t>
  </si>
  <si>
    <t>CB002</t>
  </si>
  <si>
    <t>CB003</t>
  </si>
  <si>
    <t>CB004</t>
  </si>
  <si>
    <t>CB005</t>
  </si>
  <si>
    <t>Unit Price</t>
  </si>
  <si>
    <t>Total</t>
  </si>
  <si>
    <t>VAT</t>
  </si>
  <si>
    <t>M2</t>
  </si>
  <si>
    <t>50.8mm</t>
  </si>
  <si>
    <t>63.5mm</t>
  </si>
  <si>
    <t>Yes</t>
  </si>
  <si>
    <t>Qty</t>
  </si>
  <si>
    <t>Width (mm)</t>
  </si>
  <si>
    <t>Item</t>
  </si>
  <si>
    <t>Item #</t>
  </si>
  <si>
    <t>Colour</t>
  </si>
  <si>
    <t>Size Type</t>
  </si>
  <si>
    <t>Height (mm)</t>
  </si>
  <si>
    <t>Headrail Finish</t>
  </si>
  <si>
    <t>Slat Size</t>
  </si>
  <si>
    <t>Routless/Privacy</t>
  </si>
  <si>
    <t>Ladder Choices</t>
  </si>
  <si>
    <t>Ladder Cord/Tape Cloth Colour</t>
  </si>
  <si>
    <t>Tilt Cord</t>
  </si>
  <si>
    <t>Lift Cords</t>
  </si>
  <si>
    <t>Toggle Design</t>
  </si>
  <si>
    <t>Valance Design</t>
  </si>
  <si>
    <t>Valance Returns</t>
  </si>
  <si>
    <t>Cutouts</t>
  </si>
  <si>
    <t>Hold Down Bracket</t>
  </si>
  <si>
    <t>Multiple Blinds per Headrail</t>
  </si>
  <si>
    <t>£</t>
  </si>
  <si>
    <t>No</t>
  </si>
  <si>
    <t>CT</t>
  </si>
  <si>
    <t>T001</t>
  </si>
  <si>
    <t>T002</t>
  </si>
  <si>
    <t>T003</t>
  </si>
  <si>
    <t>T101</t>
  </si>
  <si>
    <t>T102</t>
  </si>
  <si>
    <t>T103</t>
  </si>
  <si>
    <t>T104</t>
  </si>
  <si>
    <t>T105</t>
  </si>
  <si>
    <t>T106</t>
  </si>
  <si>
    <t>T107</t>
  </si>
  <si>
    <t>T108</t>
  </si>
  <si>
    <t>T109</t>
  </si>
  <si>
    <t>T110</t>
  </si>
  <si>
    <t>T111</t>
  </si>
  <si>
    <t>T112</t>
  </si>
  <si>
    <t>T114</t>
  </si>
  <si>
    <t>T115</t>
  </si>
  <si>
    <t>T116</t>
  </si>
  <si>
    <t>T117</t>
  </si>
  <si>
    <t>Left</t>
  </si>
  <si>
    <t>Right</t>
  </si>
  <si>
    <t>Values</t>
  </si>
  <si>
    <t>Lookup Costs</t>
  </si>
  <si>
    <t>Price Calculations</t>
  </si>
  <si>
    <t>Delivery Method</t>
  </si>
  <si>
    <t>Sub Total</t>
  </si>
  <si>
    <t>Total Price</t>
  </si>
  <si>
    <t>Special Instructions</t>
  </si>
  <si>
    <t>001 Pure White</t>
  </si>
  <si>
    <t>003 Silk White</t>
  </si>
  <si>
    <t>006 Pearl</t>
  </si>
  <si>
    <t>012 Crisp Linen</t>
  </si>
  <si>
    <t>109 Weathered Teak</t>
  </si>
  <si>
    <t>211 Cherry</t>
  </si>
  <si>
    <t>212 Dark Teak</t>
  </si>
  <si>
    <t>215 Cordovan</t>
  </si>
  <si>
    <t>220 New Ebony</t>
  </si>
  <si>
    <t>221 Black Walnut</t>
  </si>
  <si>
    <t>Ladder Options</t>
  </si>
  <si>
    <t>Delivery</t>
  </si>
  <si>
    <t>Min</t>
  </si>
  <si>
    <t>Sea/Air</t>
  </si>
  <si>
    <t>Air</t>
  </si>
  <si>
    <t>Freight Charges</t>
  </si>
  <si>
    <t>Discount Value:</t>
  </si>
  <si>
    <t>(Used for summary sheet only)</t>
  </si>
  <si>
    <t>Trade</t>
  </si>
  <si>
    <t>Mount Type</t>
  </si>
  <si>
    <t>Not Required</t>
  </si>
  <si>
    <t>Unit Price Inc Discount</t>
  </si>
  <si>
    <t>64mm Air Freight Discount</t>
  </si>
  <si>
    <t>Total M2:</t>
  </si>
  <si>
    <t>64mm Air freight Discount:</t>
  </si>
  <si>
    <t>Minimum Payable:</t>
  </si>
  <si>
    <t>Default</t>
  </si>
  <si>
    <t>110 Limed White</t>
  </si>
  <si>
    <t>SC Account #:</t>
  </si>
  <si>
    <t>227 Red Oak</t>
  </si>
  <si>
    <t>230 Old Teak</t>
  </si>
  <si>
    <t>233 Dark Mahogany</t>
  </si>
  <si>
    <t>Material</t>
  </si>
  <si>
    <t>Materials</t>
  </si>
  <si>
    <t>Prefix</t>
  </si>
  <si>
    <t>b_</t>
  </si>
  <si>
    <t>Order Card</t>
  </si>
  <si>
    <t>Dealer Name:</t>
  </si>
  <si>
    <t>Dealer Order No:</t>
  </si>
  <si>
    <t>SC Order #:</t>
  </si>
  <si>
    <t>Customer Name:</t>
  </si>
  <si>
    <t>Order Processed:</t>
  </si>
  <si>
    <t>CB006</t>
  </si>
  <si>
    <t>CB007</t>
  </si>
  <si>
    <t>CB008</t>
  </si>
  <si>
    <t>CB009</t>
  </si>
  <si>
    <t>CB010</t>
  </si>
  <si>
    <t>CB011</t>
  </si>
  <si>
    <t>Standard</t>
  </si>
  <si>
    <t>Shipping</t>
  </si>
  <si>
    <t>Shipping Charge (less 64mm Air Discount):</t>
  </si>
  <si>
    <t>Delivery charge</t>
  </si>
  <si>
    <t>Delivery Charge</t>
  </si>
  <si>
    <t>Shipping Method:</t>
  </si>
  <si>
    <t>Shuttercraft Ltd t/a S:CRAFT</t>
  </si>
  <si>
    <t>Form_Type</t>
  </si>
  <si>
    <t>Form Type</t>
  </si>
  <si>
    <t>Courbe</t>
  </si>
  <si>
    <t>VAT Rate</t>
  </si>
  <si>
    <t xml:space="preserve"> </t>
  </si>
  <si>
    <t>237 Wenge</t>
  </si>
  <si>
    <t>Custom Colours</t>
  </si>
  <si>
    <t>Listed</t>
  </si>
  <si>
    <t>Other</t>
  </si>
  <si>
    <t>PureB</t>
  </si>
  <si>
    <t>PurePL</t>
  </si>
  <si>
    <t>PureWood</t>
  </si>
  <si>
    <t>108 Rustic Grey</t>
  </si>
  <si>
    <t>PureV</t>
  </si>
  <si>
    <t>Sq M</t>
  </si>
  <si>
    <t>Test</t>
  </si>
  <si>
    <t>Total Sq M</t>
  </si>
  <si>
    <t>862 French Oak</t>
  </si>
  <si>
    <t>Pear</t>
  </si>
  <si>
    <t>Taper</t>
  </si>
  <si>
    <t>Listed Swatch</t>
  </si>
  <si>
    <t>No of Custom Colours:</t>
  </si>
  <si>
    <t>Cleat</t>
  </si>
  <si>
    <t>Default (Safety)</t>
  </si>
  <si>
    <t>Metal (Brushed)</t>
  </si>
  <si>
    <t>Metal (Bronze)</t>
  </si>
  <si>
    <t>Metal (Black)</t>
  </si>
  <si>
    <t>Final Processed Date</t>
  </si>
  <si>
    <t>T169</t>
  </si>
  <si>
    <t>T403</t>
  </si>
  <si>
    <t>Line Totals</t>
  </si>
  <si>
    <t>DT</t>
  </si>
  <si>
    <t>Uplift</t>
  </si>
  <si>
    <t>Ladder Colour</t>
  </si>
  <si>
    <t>Sea</t>
  </si>
  <si>
    <t>Discount</t>
  </si>
  <si>
    <t>Grand Total</t>
  </si>
  <si>
    <t>S:CRAFT EDR Order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</si>
  <si>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</si>
  <si>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</si>
  <si>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</si>
  <si>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</si>
  <si>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</si>
  <si>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</si>
  <si>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Please ensure all boxes above are completed. Please type your report and email to support@s-craft.co.uk</t>
  </si>
  <si>
    <t>ORDER LINE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</si>
  <si>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</si>
  <si>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</si>
  <si>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</si>
  <si>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</si>
  <si>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</si>
  <si>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</si>
  <si>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</si>
  <si>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</si>
  <si>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</si>
  <si>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</si>
  <si>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</si>
  <si>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</si>
  <si>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</si>
  <si>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</si>
  <si>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</si>
  <si>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</si>
  <si>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Deliver to Address</t>
  </si>
  <si>
    <t>Extras:</t>
  </si>
  <si>
    <t>Text:</t>
  </si>
  <si>
    <t>Centre Slot Colours</t>
  </si>
  <si>
    <t>T201</t>
  </si>
  <si>
    <t>T302</t>
  </si>
  <si>
    <t>T303</t>
  </si>
  <si>
    <t>T401</t>
  </si>
  <si>
    <t>T402</t>
  </si>
  <si>
    <t>T501</t>
  </si>
  <si>
    <t>T601</t>
  </si>
  <si>
    <t>T701</t>
  </si>
  <si>
    <t>T702</t>
  </si>
  <si>
    <t>63.5mm Ramp</t>
  </si>
  <si>
    <t>Min on SqM</t>
  </si>
  <si>
    <t>Minimum</t>
  </si>
  <si>
    <t>Cloth Tape Colour</t>
  </si>
  <si>
    <t>Ladder Cord Colour</t>
  </si>
  <si>
    <t>Valence Design</t>
  </si>
  <si>
    <t>WIDTH</t>
  </si>
  <si>
    <t>24"</t>
  </si>
  <si>
    <t>30"</t>
  </si>
  <si>
    <t>36"</t>
  </si>
  <si>
    <t>42"</t>
  </si>
  <si>
    <t>48"</t>
  </si>
  <si>
    <t>54"</t>
  </si>
  <si>
    <t>60"</t>
  </si>
  <si>
    <t>66"</t>
  </si>
  <si>
    <t>72"</t>
  </si>
  <si>
    <t>78"</t>
  </si>
  <si>
    <t>84"</t>
  </si>
  <si>
    <t>90"</t>
  </si>
  <si>
    <t>96"</t>
  </si>
  <si>
    <t>97"</t>
  </si>
  <si>
    <t>103"</t>
  </si>
  <si>
    <t>109"</t>
  </si>
  <si>
    <t>115"</t>
  </si>
  <si>
    <t>121"</t>
  </si>
  <si>
    <t>DROP</t>
  </si>
  <si>
    <t>102"</t>
  </si>
  <si>
    <t>108"</t>
  </si>
  <si>
    <t>114"</t>
  </si>
  <si>
    <t>120"</t>
  </si>
  <si>
    <t>50mm Classic</t>
  </si>
  <si>
    <t>64mm Classic</t>
  </si>
  <si>
    <t>Drop</t>
  </si>
  <si>
    <t>Row</t>
  </si>
  <si>
    <t>Width</t>
  </si>
  <si>
    <t>Column</t>
  </si>
  <si>
    <t>Size</t>
  </si>
  <si>
    <t>Brand</t>
  </si>
  <si>
    <t>At Cost</t>
  </si>
  <si>
    <t>to Discount</t>
  </si>
  <si>
    <t>Valence Length</t>
  </si>
  <si>
    <t>Cut-Outs</t>
  </si>
  <si>
    <t>Qty Blinds per Headrail</t>
  </si>
  <si>
    <t>Short - 12.7mm</t>
  </si>
  <si>
    <t>None</t>
  </si>
  <si>
    <t>Long - 76mm</t>
  </si>
  <si>
    <t>63.5mm Slat</t>
  </si>
  <si>
    <t>Long - 88mm</t>
  </si>
  <si>
    <t>Lookup</t>
  </si>
  <si>
    <t>IB</t>
  </si>
  <si>
    <t>OB</t>
  </si>
  <si>
    <t>Standard (air)</t>
  </si>
  <si>
    <t>50.8mm Slat</t>
  </si>
  <si>
    <t>053 Clay</t>
  </si>
  <si>
    <t>114 Taupe</t>
  </si>
  <si>
    <t>219 Mahogany</t>
  </si>
  <si>
    <t>246 Matte Black</t>
  </si>
  <si>
    <t>Sea (inc. 10% saving)</t>
  </si>
  <si>
    <t>Standard (air) with other orders</t>
  </si>
  <si>
    <t>Sea (inc. 10% saving) with other orders</t>
  </si>
  <si>
    <t>Other Orders</t>
  </si>
  <si>
    <t>Shipping Discount</t>
  </si>
  <si>
    <t>% surcharge</t>
  </si>
  <si>
    <t>63.5mm Catenary</t>
  </si>
  <si>
    <t>89mm Contempo</t>
  </si>
  <si>
    <t>76mm Tiara</t>
  </si>
  <si>
    <t>76mm Chamfer</t>
  </si>
  <si>
    <t>76mm Ramp</t>
  </si>
  <si>
    <t>M2 Price</t>
  </si>
  <si>
    <t>Total trade value before discount (for delivery charge calculation)</t>
  </si>
  <si>
    <t>PureWood Blinds</t>
  </si>
  <si>
    <t>Olive</t>
  </si>
  <si>
    <t>blinds below .7sqm</t>
  </si>
  <si>
    <t>all yellow have increase of 10%</t>
  </si>
  <si>
    <t>rest have increase of 15%</t>
  </si>
  <si>
    <t>Classic</t>
  </si>
  <si>
    <t>Valence Length (mm)</t>
  </si>
  <si>
    <t>Extra Valance Length</t>
  </si>
  <si>
    <t>Valance Length</t>
  </si>
  <si>
    <t>Extra Valance Length M</t>
  </si>
  <si>
    <t>IM</t>
  </si>
  <si>
    <t>OM</t>
  </si>
  <si>
    <t>3058 Pure White</t>
    <phoneticPr fontId="4" type="noConversion"/>
  </si>
  <si>
    <t>H002 Vanilla</t>
    <phoneticPr fontId="4" type="noConversion"/>
  </si>
  <si>
    <t>3523 Sugar Maple</t>
    <phoneticPr fontId="4" type="noConversion"/>
  </si>
  <si>
    <t>3105 Grey</t>
    <phoneticPr fontId="4" type="noConversion"/>
  </si>
  <si>
    <t>3436 Coffee</t>
    <phoneticPr fontId="1" type="noConversion"/>
  </si>
  <si>
    <t>3208 Black</t>
    <phoneticPr fontId="1" type="noConversion"/>
  </si>
  <si>
    <t>LC</t>
  </si>
  <si>
    <t>5020 Alabaster</t>
    <phoneticPr fontId="4" type="noConversion"/>
  </si>
  <si>
    <t>5413 Walnut</t>
    <phoneticPr fontId="4" type="noConversion"/>
  </si>
  <si>
    <t>5430 Mahogany</t>
    <phoneticPr fontId="4" type="noConversion"/>
  </si>
  <si>
    <t>5526 Cottage Pine</t>
    <phoneticPr fontId="4" type="noConversion"/>
  </si>
  <si>
    <t>T001 White</t>
  </si>
  <si>
    <t>T168 Gray</t>
    <phoneticPr fontId="4" type="noConversion"/>
  </si>
  <si>
    <t>T201 Black</t>
    <phoneticPr fontId="4" type="noConversion"/>
  </si>
  <si>
    <t>Surcharge</t>
  </si>
  <si>
    <t>£/m</t>
  </si>
  <si>
    <t>Headrail Colour</t>
  </si>
  <si>
    <t>Consolidator Colour</t>
  </si>
  <si>
    <t>Consolidator Colours</t>
  </si>
  <si>
    <t>2037 Snow White</t>
  </si>
  <si>
    <t>2012 Cameo</t>
  </si>
  <si>
    <t>P201 Black</t>
  </si>
  <si>
    <t>P501 Wheat</t>
  </si>
  <si>
    <t>P402 Light Cocoa</t>
  </si>
  <si>
    <t>2522 Teak</t>
  </si>
  <si>
    <t>P401 Cherry</t>
  </si>
  <si>
    <t>2413 Walnut</t>
  </si>
  <si>
    <t>2437 Mahogany</t>
  </si>
  <si>
    <t>Tape Colour</t>
  </si>
  <si>
    <t>NA</t>
  </si>
  <si>
    <t>Installation Height</t>
  </si>
  <si>
    <t>204 Oak Mantel</t>
  </si>
  <si>
    <t>Brackets</t>
  </si>
  <si>
    <t>Swivel Bracket IM</t>
  </si>
  <si>
    <t>Swivel Bracket OM</t>
  </si>
  <si>
    <t>019 String</t>
  </si>
  <si>
    <t>032 Sea Mist</t>
  </si>
  <si>
    <t>Swivel Brackets</t>
  </si>
  <si>
    <t>080 Taupe Gray</t>
    <phoneticPr fontId="1" type="noConversion"/>
  </si>
  <si>
    <t>T001A White</t>
  </si>
  <si>
    <t>T002A Ivory</t>
  </si>
  <si>
    <t>T003A Bone</t>
  </si>
  <si>
    <t>T201A Black</t>
  </si>
  <si>
    <t>T302A Bordeaux</t>
  </si>
  <si>
    <t>T303A Dark Mulberry</t>
  </si>
  <si>
    <t>T401A Cherry</t>
  </si>
  <si>
    <t>T402A Light Cocoa</t>
  </si>
  <si>
    <t>T403A Ecru</t>
  </si>
  <si>
    <t>T501A Wheat</t>
  </si>
  <si>
    <t>5462A Black Brown</t>
  </si>
  <si>
    <t>5434A Dark Sienna</t>
  </si>
  <si>
    <t>5414A Brown</t>
  </si>
  <si>
    <t>5507A Natural</t>
  </si>
  <si>
    <t>5124A Dusty Grey</t>
  </si>
  <si>
    <t>5416A Chocolate</t>
  </si>
  <si>
    <t>5323 Cherry</t>
  </si>
  <si>
    <t>5565 Maple</t>
  </si>
  <si>
    <t>Box Bracket</t>
  </si>
  <si>
    <t>vT8b</t>
  </si>
  <si>
    <t>3150 Sea Mist</t>
  </si>
  <si>
    <t>049 Stone Gray</t>
  </si>
  <si>
    <t>051 Brown Gray</t>
  </si>
  <si>
    <t>T169A Gray Beige</t>
  </si>
  <si>
    <t>T113</t>
  </si>
  <si>
    <t>T118</t>
  </si>
  <si>
    <t>P101 Gray</t>
  </si>
  <si>
    <t>2139 Silver Grey</t>
  </si>
  <si>
    <t>CP Interiors</t>
  </si>
  <si>
    <t>CPSUN</t>
  </si>
  <si>
    <t>VAT exempt</t>
  </si>
  <si>
    <t>SO8400</t>
  </si>
  <si>
    <t>Strachan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</si>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</sst>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.00_);\(&quot;£&quot;#,##0.00\)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0.0"/>
    <numFmt numFmtId="168" formatCode="0.0%"/>
    <numFmt numFmtId="169" formatCode="_-* #,##0_-;\-* #,##0_-;_-* &quot;-&quot;??_-;_-@_-"/>
  </numFmts>
  <fonts count="2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Tahoma"/>
      <family val="2"/>
    </font>
    <font>
      <sz val="24"/>
      <name val="Trebuchet MS"/>
      <family val="2"/>
    </font>
    <font>
      <sz val="8"/>
      <color indexed="81"/>
      <name val="Tahoma"/>
      <family val="2"/>
    </font>
    <font>
      <sz val="12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9"/>
      <name val="Trebuchet MS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sz val="9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306">
    <xf numFmtId="0" fontId="0" fillId="0" borderId="0" xfId="0"/>
    <xf numFmtId="0" fontId="2" fillId="0" borderId="0" xfId="0" applyFont="1"/>
    <xf numFmtId="0" fontId="0" fillId="0" borderId="0" xfId="0" applyAlignment="1">
      <alignment textRotation="90"/>
    </xf>
    <xf numFmtId="0" fontId="5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6" fillId="0" borderId="0" xfId="0" applyFont="1" applyBorder="1" applyAlignment="1">
      <alignment vertical="top"/>
    </xf>
    <xf numFmtId="0" fontId="0" fillId="2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shrinkToFit="1"/>
      <protection locked="0"/>
    </xf>
    <xf numFmtId="0" fontId="0" fillId="4" borderId="2" xfId="0" applyFill="1" applyBorder="1" applyAlignment="1" applyProtection="1">
      <alignment horizontal="center" shrinkToFit="1"/>
      <protection locked="0"/>
    </xf>
    <xf numFmtId="0" fontId="10" fillId="0" borderId="0" xfId="0" applyFont="1"/>
    <xf numFmtId="9" fontId="0" fillId="0" borderId="0" xfId="0" applyNumberFormat="1"/>
    <xf numFmtId="9" fontId="10" fillId="0" borderId="0" xfId="0" applyNumberFormat="1" applyFont="1"/>
    <xf numFmtId="165" fontId="0" fillId="0" borderId="0" xfId="2" applyFont="1"/>
    <xf numFmtId="0" fontId="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textRotation="90" wrapText="1"/>
    </xf>
    <xf numFmtId="0" fontId="0" fillId="0" borderId="3" xfId="0" applyBorder="1"/>
    <xf numFmtId="0" fontId="0" fillId="0" borderId="0" xfId="0" applyFont="1" applyAlignment="1">
      <alignment textRotation="90" wrapText="1"/>
    </xf>
    <xf numFmtId="0" fontId="11" fillId="0" borderId="0" xfId="0" applyFont="1" applyAlignment="1">
      <alignment horizontal="right"/>
    </xf>
    <xf numFmtId="165" fontId="1" fillId="0" borderId="0" xfId="2" applyFont="1"/>
    <xf numFmtId="0" fontId="11" fillId="0" borderId="0" xfId="0" applyFont="1"/>
    <xf numFmtId="169" fontId="0" fillId="0" borderId="0" xfId="1" applyNumberFormat="1" applyFont="1"/>
    <xf numFmtId="0" fontId="2" fillId="0" borderId="0" xfId="5" applyFont="1" applyAlignment="1">
      <alignment horizontal="right"/>
    </xf>
    <xf numFmtId="0" fontId="2" fillId="0" borderId="0" xfId="5" applyFont="1"/>
    <xf numFmtId="1" fontId="12" fillId="0" borderId="0" xfId="5" applyNumberFormat="1" applyFont="1" applyFill="1" applyBorder="1" applyAlignment="1" applyProtection="1">
      <alignment horizontal="right" vertical="center"/>
    </xf>
    <xf numFmtId="0" fontId="2" fillId="0" borderId="0" xfId="5" applyFont="1" applyAlignment="1">
      <alignment vertical="center"/>
    </xf>
    <xf numFmtId="0" fontId="12" fillId="0" borderId="0" xfId="0" applyFont="1" applyFill="1" applyBorder="1" applyAlignment="1" applyProtection="1">
      <alignment horizontal="right" vertical="center"/>
    </xf>
    <xf numFmtId="1" fontId="2" fillId="0" borderId="0" xfId="5" applyNumberFormat="1" applyFont="1" applyFill="1"/>
    <xf numFmtId="0" fontId="2" fillId="0" borderId="0" xfId="5" applyFont="1" applyFill="1"/>
    <xf numFmtId="0" fontId="2" fillId="0" borderId="0" xfId="5" applyFont="1" applyFill="1" applyAlignment="1">
      <alignment horizontal="right"/>
    </xf>
    <xf numFmtId="0" fontId="2" fillId="0" borderId="0" xfId="0" applyFont="1" applyFill="1"/>
    <xf numFmtId="1" fontId="13" fillId="0" borderId="0" xfId="5" applyNumberFormat="1" applyFont="1" applyFill="1" applyAlignment="1" applyProtection="1">
      <alignment horizontal="center"/>
    </xf>
    <xf numFmtId="0" fontId="12" fillId="0" borderId="0" xfId="0" applyFont="1" applyFill="1" applyBorder="1" applyAlignment="1" applyProtection="1">
      <alignment horizontal="right"/>
    </xf>
    <xf numFmtId="1" fontId="14" fillId="0" borderId="0" xfId="5" applyNumberFormat="1" applyFont="1" applyFill="1" applyAlignment="1" applyProtection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15" fillId="5" borderId="4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wrapText="1"/>
    </xf>
    <xf numFmtId="0" fontId="2" fillId="0" borderId="0" xfId="5" applyFont="1" applyFill="1" applyAlignment="1"/>
    <xf numFmtId="0" fontId="0" fillId="0" borderId="0" xfId="0" applyFill="1" applyBorder="1" applyAlignment="1"/>
    <xf numFmtId="0" fontId="3" fillId="3" borderId="7" xfId="0" applyFont="1" applyFill="1" applyBorder="1"/>
    <xf numFmtId="0" fontId="0" fillId="3" borderId="8" xfId="0" applyFill="1" applyBorder="1" applyAlignment="1" applyProtection="1">
      <alignment horizontal="center" shrinkToFit="1"/>
      <protection locked="0"/>
    </xf>
    <xf numFmtId="0" fontId="0" fillId="0" borderId="0" xfId="0" applyAlignment="1">
      <alignment horizontal="right"/>
    </xf>
    <xf numFmtId="165" fontId="0" fillId="0" borderId="0" xfId="0" applyNumberFormat="1"/>
    <xf numFmtId="0" fontId="0" fillId="0" borderId="0" xfId="0" applyProtection="1"/>
    <xf numFmtId="0" fontId="9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center" shrinkToFit="1"/>
    </xf>
    <xf numFmtId="0" fontId="0" fillId="3" borderId="2" xfId="0" applyFill="1" applyBorder="1" applyAlignment="1" applyProtection="1">
      <alignment horizontal="center" shrinkToFit="1"/>
    </xf>
    <xf numFmtId="0" fontId="0" fillId="4" borderId="2" xfId="0" applyFill="1" applyBorder="1" applyAlignment="1" applyProtection="1">
      <alignment horizontal="center" shrinkToFit="1"/>
    </xf>
    <xf numFmtId="0" fontId="0" fillId="3" borderId="8" xfId="0" applyFill="1" applyBorder="1" applyAlignment="1" applyProtection="1">
      <alignment horizontal="center" shrinkToFit="1"/>
    </xf>
    <xf numFmtId="0" fontId="0" fillId="4" borderId="9" xfId="0" applyFill="1" applyBorder="1" applyAlignment="1" applyProtection="1">
      <alignment horizontal="center" shrinkToFit="1"/>
    </xf>
    <xf numFmtId="10" fontId="0" fillId="0" borderId="0" xfId="0" applyNumberFormat="1"/>
    <xf numFmtId="0" fontId="18" fillId="0" borderId="0" xfId="0" applyFont="1"/>
    <xf numFmtId="17" fontId="2" fillId="0" borderId="0" xfId="5" applyNumberFormat="1" applyFont="1" applyAlignment="1">
      <alignment horizontal="left"/>
    </xf>
    <xf numFmtId="2" fontId="0" fillId="0" borderId="0" xfId="0" applyNumberFormat="1"/>
    <xf numFmtId="168" fontId="20" fillId="0" borderId="0" xfId="0" applyNumberFormat="1" applyFont="1" applyAlignment="1" applyProtection="1">
      <alignment horizontal="center" vertical="top" wrapText="1"/>
      <protection hidden="1"/>
    </xf>
    <xf numFmtId="168" fontId="0" fillId="0" borderId="0" xfId="0" applyNumberFormat="1"/>
    <xf numFmtId="167" fontId="0" fillId="0" borderId="0" xfId="0" applyNumberFormat="1"/>
    <xf numFmtId="14" fontId="0" fillId="0" borderId="0" xfId="0" applyNumberFormat="1"/>
    <xf numFmtId="0" fontId="15" fillId="5" borderId="10" xfId="0" applyFont="1" applyFill="1" applyBorder="1" applyAlignment="1">
      <alignment horizontal="center" wrapText="1"/>
    </xf>
    <xf numFmtId="1" fontId="0" fillId="2" borderId="2" xfId="0" applyNumberFormat="1" applyFill="1" applyBorder="1" applyAlignment="1" applyProtection="1">
      <alignment horizontal="center" shrinkToFit="1"/>
      <protection locked="0"/>
    </xf>
    <xf numFmtId="1" fontId="0" fillId="3" borderId="2" xfId="0" applyNumberFormat="1" applyFill="1" applyBorder="1" applyAlignment="1" applyProtection="1">
      <alignment horizontal="center" shrinkToFit="1"/>
      <protection locked="0"/>
    </xf>
    <xf numFmtId="1" fontId="0" fillId="4" borderId="2" xfId="0" applyNumberFormat="1" applyFill="1" applyBorder="1" applyAlignment="1" applyProtection="1">
      <alignment horizontal="center" shrinkToFit="1"/>
      <protection locked="0"/>
    </xf>
    <xf numFmtId="1" fontId="0" fillId="0" borderId="0" xfId="0" applyNumberFormat="1"/>
    <xf numFmtId="9" fontId="0" fillId="0" borderId="0" xfId="2" applyNumberFormat="1" applyFont="1"/>
    <xf numFmtId="9" fontId="0" fillId="0" borderId="0" xfId="6" applyFont="1"/>
    <xf numFmtId="0" fontId="0" fillId="0" borderId="11" xfId="0" applyBorder="1"/>
    <xf numFmtId="0" fontId="3" fillId="4" borderId="12" xfId="0" applyFont="1" applyFill="1" applyBorder="1"/>
    <xf numFmtId="0" fontId="0" fillId="4" borderId="9" xfId="0" applyFill="1" applyBorder="1" applyAlignment="1" applyProtection="1">
      <alignment horizontal="center" shrinkToFit="1"/>
      <protection locked="0"/>
    </xf>
    <xf numFmtId="1" fontId="0" fillId="4" borderId="9" xfId="0" applyNumberFormat="1" applyFill="1" applyBorder="1" applyAlignment="1" applyProtection="1">
      <alignment horizontal="center" shrinkToFit="1"/>
      <protection locked="0"/>
    </xf>
    <xf numFmtId="0" fontId="18" fillId="5" borderId="13" xfId="0" applyFont="1" applyFill="1" applyBorder="1"/>
    <xf numFmtId="0" fontId="18" fillId="5" borderId="11" xfId="0" applyFont="1" applyFill="1" applyBorder="1"/>
    <xf numFmtId="0" fontId="18" fillId="5" borderId="14" xfId="0" applyFont="1" applyFill="1" applyBorder="1" applyAlignment="1">
      <alignment horizontal="right"/>
    </xf>
    <xf numFmtId="0" fontId="19" fillId="5" borderId="15" xfId="0" applyFont="1" applyFill="1" applyBorder="1"/>
    <xf numFmtId="0" fontId="18" fillId="0" borderId="15" xfId="0" applyFont="1" applyBorder="1" applyAlignment="1">
      <alignment horizontal="center"/>
    </xf>
    <xf numFmtId="0" fontId="18" fillId="0" borderId="15" xfId="0" applyFont="1" applyBorder="1" applyAlignment="1" applyProtection="1">
      <alignment horizontal="center"/>
      <protection locked="0"/>
    </xf>
    <xf numFmtId="0" fontId="1" fillId="0" borderId="0" xfId="4" applyProtection="1"/>
    <xf numFmtId="0" fontId="21" fillId="0" borderId="0" xfId="4" applyFont="1" applyAlignment="1" applyProtection="1">
      <alignment horizontal="center"/>
    </xf>
    <xf numFmtId="0" fontId="1" fillId="0" borderId="0" xfId="4"/>
    <xf numFmtId="0" fontId="11" fillId="0" borderId="0" xfId="4" applyFont="1" applyAlignment="1" applyProtection="1">
      <alignment vertical="center"/>
    </xf>
    <xf numFmtId="0" fontId="1" fillId="0" borderId="16" xfId="4" applyBorder="1" applyAlignment="1" applyProtection="1">
      <alignment horizontal="center" wrapText="1"/>
    </xf>
    <xf numFmtId="0" fontId="1" fillId="0" borderId="0" xfId="4" applyBorder="1" applyAlignment="1" applyProtection="1">
      <alignment horizontal="center" wrapText="1"/>
    </xf>
    <xf numFmtId="0" fontId="1" fillId="0" borderId="0" xfId="4" applyAlignment="1" applyProtection="1">
      <alignment vertical="center"/>
    </xf>
    <xf numFmtId="0" fontId="1" fillId="0" borderId="0" xfId="4" applyAlignment="1">
      <alignment vertical="center"/>
    </xf>
    <xf numFmtId="0" fontId="1" fillId="0" borderId="0" xfId="4" applyBorder="1" applyProtection="1"/>
    <xf numFmtId="0" fontId="1" fillId="0" borderId="0" xfId="4" applyBorder="1" applyAlignment="1" applyProtection="1">
      <alignment vertical="center"/>
    </xf>
    <xf numFmtId="0" fontId="19" fillId="0" borderId="0" xfId="4" applyFont="1" applyAlignment="1" applyProtection="1">
      <alignment horizontal="center"/>
    </xf>
    <xf numFmtId="0" fontId="11" fillId="0" borderId="2" xfId="4" applyFont="1" applyBorder="1" applyProtection="1"/>
    <xf numFmtId="0" fontId="11" fillId="0" borderId="2" xfId="4" applyFont="1" applyBorder="1" applyAlignment="1"/>
    <xf numFmtId="0" fontId="1" fillId="0" borderId="2" xfId="4" applyBorder="1"/>
    <xf numFmtId="0" fontId="1" fillId="0" borderId="2" xfId="4" applyBorder="1" applyAlignment="1" applyProtection="1">
      <alignment horizontal="left" vertical="top" wrapText="1"/>
      <protection locked="0"/>
    </xf>
    <xf numFmtId="0" fontId="1" fillId="0" borderId="0" xfId="4" applyBorder="1" applyAlignment="1" applyProtection="1">
      <alignment horizontal="left" vertical="top" wrapText="1"/>
    </xf>
    <xf numFmtId="0" fontId="1" fillId="0" borderId="0" xfId="4" applyProtection="1">
      <protection locked="0"/>
    </xf>
    <xf numFmtId="0" fontId="2" fillId="0" borderId="0" xfId="4" applyFont="1" applyAlignment="1" applyProtection="1">
      <alignment horizont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" fillId="0" borderId="17" xfId="4" applyBorder="1"/>
    <xf numFmtId="0" fontId="1" fillId="0" borderId="0" xfId="4" applyBorder="1"/>
    <xf numFmtId="0" fontId="1" fillId="0" borderId="18" xfId="4" applyBorder="1"/>
    <xf numFmtId="0" fontId="1" fillId="0" borderId="0" xfId="4" applyAlignment="1">
      <alignment horizontal="right"/>
    </xf>
    <xf numFmtId="0" fontId="1" fillId="0" borderId="19" xfId="4" applyBorder="1"/>
    <xf numFmtId="0" fontId="1" fillId="0" borderId="20" xfId="4" applyBorder="1"/>
    <xf numFmtId="0" fontId="1" fillId="0" borderId="21" xfId="4" applyBorder="1"/>
    <xf numFmtId="0" fontId="1" fillId="0" borderId="13" xfId="4" applyBorder="1"/>
    <xf numFmtId="0" fontId="1" fillId="0" borderId="11" xfId="4" applyBorder="1"/>
    <xf numFmtId="0" fontId="1" fillId="0" borderId="14" xfId="4" applyBorder="1"/>
    <xf numFmtId="0" fontId="15" fillId="5" borderId="10" xfId="0" applyFont="1" applyFill="1" applyBorder="1" applyAlignment="1">
      <alignment wrapText="1"/>
    </xf>
    <xf numFmtId="0" fontId="2" fillId="2" borderId="22" xfId="0" applyFont="1" applyFill="1" applyBorder="1" applyAlignment="1" applyProtection="1">
      <protection locked="0"/>
    </xf>
    <xf numFmtId="0" fontId="0" fillId="3" borderId="22" xfId="0" applyFill="1" applyBorder="1" applyAlignment="1" applyProtection="1">
      <protection locked="0"/>
    </xf>
    <xf numFmtId="0" fontId="0" fillId="4" borderId="22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3" borderId="23" xfId="0" applyFill="1" applyBorder="1" applyAlignment="1" applyProtection="1">
      <protection locked="0"/>
    </xf>
    <xf numFmtId="0" fontId="0" fillId="4" borderId="23" xfId="0" applyFill="1" applyBorder="1" applyAlignment="1" applyProtection="1">
      <protection locked="0"/>
    </xf>
    <xf numFmtId="0" fontId="0" fillId="4" borderId="24" xfId="0" applyFill="1" applyBorder="1" applyAlignment="1" applyProtection="1">
      <protection locked="0"/>
    </xf>
    <xf numFmtId="0" fontId="2" fillId="4" borderId="25" xfId="0" applyFont="1" applyFill="1" applyBorder="1" applyAlignment="1" applyProtection="1">
      <protection locked="0"/>
    </xf>
    <xf numFmtId="0" fontId="3" fillId="5" borderId="6" xfId="0" applyFont="1" applyFill="1" applyBorder="1" applyAlignment="1">
      <alignment horizontal="center" wrapText="1"/>
    </xf>
    <xf numFmtId="2" fontId="0" fillId="0" borderId="0" xfId="0" applyNumberFormat="1" applyBorder="1" applyAlignment="1">
      <alignment vertic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2" fontId="11" fillId="0" borderId="0" xfId="0" applyNumberFormat="1" applyFont="1"/>
    <xf numFmtId="2" fontId="0" fillId="0" borderId="0" xfId="0" applyNumberFormat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vertical="center"/>
    </xf>
    <xf numFmtId="2" fontId="23" fillId="0" borderId="0" xfId="0" applyNumberFormat="1" applyFont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2" fillId="0" borderId="0" xfId="0" applyFont="1" applyAlignment="1">
      <alignment textRotation="90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19" fillId="0" borderId="0" xfId="0" applyFont="1" applyBorder="1" applyAlignment="1">
      <alignment vertical="top" wrapText="1"/>
    </xf>
    <xf numFmtId="0" fontId="4" fillId="5" borderId="38" xfId="0" applyFont="1" applyFill="1" applyBorder="1" applyAlignment="1"/>
    <xf numFmtId="0" fontId="3" fillId="5" borderId="10" xfId="0" applyFont="1" applyFill="1" applyBorder="1" applyAlignment="1">
      <alignment horizontal="center" wrapText="1"/>
    </xf>
    <xf numFmtId="0" fontId="0" fillId="3" borderId="39" xfId="0" applyFill="1" applyBorder="1" applyAlignment="1" applyProtection="1">
      <alignment horizontal="center" shrinkToFit="1"/>
      <protection locked="0"/>
    </xf>
    <xf numFmtId="0" fontId="0" fillId="0" borderId="21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" fillId="0" borderId="0" xfId="0" applyFont="1"/>
    <xf numFmtId="0" fontId="0" fillId="0" borderId="0" xfId="0" applyFont="1"/>
    <xf numFmtId="0" fontId="0" fillId="0" borderId="0" xfId="0" applyAlignment="1"/>
    <xf numFmtId="0" fontId="15" fillId="5" borderId="5" xfId="0" applyFont="1" applyFill="1" applyBorder="1" applyAlignment="1">
      <alignment horizontal="center" wrapText="1"/>
    </xf>
    <xf numFmtId="0" fontId="15" fillId="5" borderId="10" xfId="0" applyFont="1" applyFill="1" applyBorder="1" applyAlignment="1">
      <alignment horizontal="center" wrapText="1"/>
    </xf>
    <xf numFmtId="2" fontId="0" fillId="8" borderId="0" xfId="0" applyNumberFormat="1" applyFill="1" applyBorder="1"/>
    <xf numFmtId="2" fontId="1" fillId="7" borderId="0" xfId="0" applyNumberFormat="1" applyFont="1" applyFill="1" applyBorder="1"/>
    <xf numFmtId="2" fontId="1" fillId="0" borderId="0" xfId="0" applyNumberFormat="1" applyFont="1" applyFill="1" applyBorder="1"/>
    <xf numFmtId="2" fontId="0" fillId="0" borderId="0" xfId="0" applyNumberFormat="1" applyFill="1" applyBorder="1" applyAlignment="1"/>
    <xf numFmtId="2" fontId="1" fillId="9" borderId="0" xfId="0" applyNumberFormat="1" applyFont="1" applyFill="1" applyBorder="1"/>
    <xf numFmtId="2" fontId="1" fillId="10" borderId="0" xfId="0" applyNumberFormat="1" applyFont="1" applyFill="1" applyBorder="1" applyAlignment="1">
      <alignment horizontal="center"/>
    </xf>
    <xf numFmtId="0" fontId="0" fillId="2" borderId="22" xfId="0" applyFill="1" applyBorder="1" applyAlignment="1" applyProtection="1">
      <alignment shrinkToFit="1"/>
      <protection locked="0"/>
    </xf>
    <xf numFmtId="0" fontId="0" fillId="3" borderId="22" xfId="0" applyFill="1" applyBorder="1" applyAlignment="1" applyProtection="1">
      <alignment shrinkToFit="1"/>
      <protection locked="0"/>
    </xf>
    <xf numFmtId="0" fontId="0" fillId="4" borderId="22" xfId="0" applyFill="1" applyBorder="1" applyAlignment="1" applyProtection="1">
      <alignment shrinkToFit="1"/>
      <protection locked="0"/>
    </xf>
    <xf numFmtId="0" fontId="0" fillId="4" borderId="25" xfId="0" applyFill="1" applyBorder="1" applyAlignment="1" applyProtection="1">
      <alignment shrinkToFit="1"/>
      <protection locked="0"/>
    </xf>
    <xf numFmtId="0" fontId="1" fillId="0" borderId="0" xfId="0" applyFont="1" applyAlignment="1">
      <alignment textRotation="90" wrapText="1"/>
    </xf>
    <xf numFmtId="0" fontId="27" fillId="0" borderId="0" xfId="0" applyFont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1" fillId="0" borderId="0" xfId="5" applyFont="1"/>
    <xf numFmtId="0" fontId="1" fillId="2" borderId="22" xfId="0" applyFont="1" applyFill="1" applyBorder="1" applyAlignment="1" applyProtection="1">
      <protection locked="0"/>
    </xf>
    <xf numFmtId="0" fontId="0" fillId="3" borderId="2" xfId="0" applyFill="1" applyBorder="1" applyAlignment="1" applyProtection="1">
      <alignment horizontal="center" shrinkToFit="1"/>
      <protection hidden="1"/>
    </xf>
    <xf numFmtId="0" fontId="0" fillId="4" borderId="2" xfId="0" applyFill="1" applyBorder="1" applyAlignment="1" applyProtection="1">
      <alignment horizontal="center" shrinkToFit="1"/>
      <protection hidden="1"/>
    </xf>
    <xf numFmtId="0" fontId="0" fillId="2" borderId="2" xfId="0" applyFill="1" applyBorder="1" applyAlignment="1" applyProtection="1">
      <alignment horizontal="center" shrinkToFit="1"/>
      <protection hidden="1"/>
    </xf>
    <xf numFmtId="0" fontId="0" fillId="3" borderId="8" xfId="0" applyFill="1" applyBorder="1" applyAlignment="1" applyProtection="1">
      <alignment horizontal="center" shrinkToFit="1"/>
      <protection hidden="1"/>
    </xf>
    <xf numFmtId="0" fontId="0" fillId="4" borderId="9" xfId="0" applyFill="1" applyBorder="1" applyAlignment="1" applyProtection="1">
      <alignment horizontal="center" shrinkToFit="1"/>
      <protection hidden="1"/>
    </xf>
    <xf numFmtId="0" fontId="18" fillId="0" borderId="15" xfId="0" applyFont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1" fillId="3" borderId="22" xfId="0" applyFont="1" applyFill="1" applyBorder="1" applyAlignment="1" applyProtection="1">
      <protection locked="0"/>
    </xf>
    <xf numFmtId="0" fontId="15" fillId="5" borderId="27" xfId="0" applyFont="1" applyFill="1" applyBorder="1" applyAlignment="1">
      <alignment horizontal="center" wrapText="1"/>
    </xf>
    <xf numFmtId="0" fontId="28" fillId="0" borderId="0" xfId="0" applyFont="1" applyProtection="1">
      <protection hidden="1"/>
    </xf>
    <xf numFmtId="0" fontId="1" fillId="4" borderId="25" xfId="0" applyFont="1" applyFill="1" applyBorder="1" applyAlignment="1" applyProtection="1">
      <protection locked="0"/>
    </xf>
    <xf numFmtId="2" fontId="0" fillId="8" borderId="0" xfId="0" applyNumberFormat="1" applyFill="1"/>
    <xf numFmtId="2" fontId="1" fillId="8" borderId="0" xfId="0" applyNumberFormat="1" applyFont="1" applyFill="1" applyAlignment="1">
      <alignment horizontal="center" vertical="center"/>
    </xf>
    <xf numFmtId="2" fontId="0" fillId="7" borderId="0" xfId="0" applyNumberFormat="1" applyFill="1"/>
    <xf numFmtId="2" fontId="1" fillId="0" borderId="0" xfId="0" applyNumberFormat="1" applyFont="1"/>
    <xf numFmtId="0" fontId="15" fillId="5" borderId="5" xfId="0" applyFont="1" applyFill="1" applyBorder="1" applyAlignment="1">
      <alignment horizontal="center"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18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/>
    <xf numFmtId="0" fontId="0" fillId="2" borderId="23" xfId="0" applyFill="1" applyBorder="1" applyAlignment="1" applyProtection="1">
      <alignment horizontal="center" shrinkToFit="1"/>
      <protection locked="0"/>
    </xf>
    <xf numFmtId="0" fontId="0" fillId="3" borderId="23" xfId="0" applyFill="1" applyBorder="1" applyAlignment="1" applyProtection="1">
      <alignment horizontal="center" shrinkToFit="1"/>
      <protection locked="0"/>
    </xf>
    <xf numFmtId="0" fontId="0" fillId="4" borderId="23" xfId="0" applyFill="1" applyBorder="1" applyAlignment="1" applyProtection="1">
      <alignment horizontal="center" shrinkToFit="1"/>
      <protection locked="0"/>
    </xf>
    <xf numFmtId="0" fontId="0" fillId="3" borderId="40" xfId="0" applyFill="1" applyBorder="1" applyAlignment="1" applyProtection="1">
      <alignment horizontal="center" shrinkToFit="1"/>
      <protection locked="0"/>
    </xf>
    <xf numFmtId="0" fontId="0" fillId="4" borderId="24" xfId="0" applyFill="1" applyBorder="1" applyAlignment="1" applyProtection="1">
      <alignment horizontal="center" shrinkToFit="1"/>
      <protection locked="0"/>
    </xf>
    <xf numFmtId="0" fontId="15" fillId="5" borderId="6" xfId="0" applyFont="1" applyFill="1" applyBorder="1" applyAlignment="1">
      <alignment wrapText="1"/>
    </xf>
    <xf numFmtId="164" fontId="0" fillId="4" borderId="23" xfId="2" applyNumberFormat="1" applyFont="1" applyFill="1" applyBorder="1" applyAlignment="1" applyProtection="1">
      <protection hidden="1"/>
    </xf>
    <xf numFmtId="164" fontId="0" fillId="3" borderId="23" xfId="2" applyNumberFormat="1" applyFont="1" applyFill="1" applyBorder="1" applyAlignment="1" applyProtection="1">
      <protection hidden="1"/>
    </xf>
    <xf numFmtId="164" fontId="0" fillId="4" borderId="24" xfId="2" applyNumberFormat="1" applyFont="1" applyFill="1" applyBorder="1" applyAlignment="1" applyProtection="1">
      <protection hidden="1"/>
    </xf>
    <xf numFmtId="0" fontId="0" fillId="0" borderId="0" xfId="0" applyBorder="1" applyAlignment="1">
      <alignment vertical="top" wrapText="1"/>
    </xf>
    <xf numFmtId="164" fontId="0" fillId="0" borderId="6" xfId="0" applyNumberFormat="1" applyBorder="1" applyAlignment="1" applyProtection="1">
      <protection hidden="1"/>
    </xf>
    <xf numFmtId="164" fontId="0" fillId="0" borderId="24" xfId="0" applyNumberFormat="1" applyBorder="1" applyAlignment="1" applyProtection="1">
      <protection hidden="1"/>
    </xf>
    <xf numFmtId="164" fontId="0" fillId="0" borderId="0" xfId="0" applyNumberFormat="1" applyBorder="1" applyAlignment="1" applyProtection="1">
      <protection hidden="1"/>
    </xf>
    <xf numFmtId="164" fontId="0" fillId="0" borderId="23" xfId="0" applyNumberFormat="1" applyBorder="1" applyAlignment="1" applyProtection="1">
      <protection hidden="1"/>
    </xf>
    <xf numFmtId="0" fontId="3" fillId="5" borderId="26" xfId="0" applyFont="1" applyFill="1" applyBorder="1" applyAlignment="1">
      <alignment horizontal="center" wrapText="1"/>
    </xf>
    <xf numFmtId="0" fontId="0" fillId="2" borderId="37" xfId="0" applyFill="1" applyBorder="1" applyAlignment="1" applyProtection="1">
      <alignment horizontal="center" shrinkToFit="1"/>
      <protection locked="0"/>
    </xf>
    <xf numFmtId="0" fontId="0" fillId="3" borderId="37" xfId="0" applyFill="1" applyBorder="1" applyAlignment="1" applyProtection="1">
      <alignment horizontal="center" shrinkToFit="1"/>
      <protection locked="0"/>
    </xf>
    <xf numFmtId="0" fontId="0" fillId="4" borderId="37" xfId="0" applyFill="1" applyBorder="1" applyAlignment="1" applyProtection="1">
      <alignment horizontal="center" shrinkToFit="1"/>
      <protection locked="0"/>
    </xf>
    <xf numFmtId="0" fontId="0" fillId="3" borderId="31" xfId="0" applyFill="1" applyBorder="1" applyAlignment="1" applyProtection="1">
      <alignment horizontal="center" shrinkToFit="1"/>
      <protection locked="0"/>
    </xf>
    <xf numFmtId="0" fontId="0" fillId="4" borderId="41" xfId="0" applyFill="1" applyBorder="1" applyAlignment="1" applyProtection="1">
      <alignment horizontal="center" shrinkToFit="1"/>
      <protection locked="0"/>
    </xf>
    <xf numFmtId="0" fontId="3" fillId="5" borderId="5" xfId="0" applyFont="1" applyFill="1" applyBorder="1" applyAlignment="1">
      <alignment horizontal="center" wrapText="1"/>
    </xf>
    <xf numFmtId="164" fontId="0" fillId="2" borderId="23" xfId="2" applyNumberFormat="1" applyFont="1" applyFill="1" applyBorder="1" applyAlignment="1" applyProtection="1">
      <protection hidden="1"/>
    </xf>
    <xf numFmtId="0" fontId="4" fillId="0" borderId="0" xfId="0" applyFont="1" applyFill="1" applyBorder="1" applyAlignment="1"/>
    <xf numFmtId="0" fontId="2" fillId="0" borderId="0" xfId="3"/>
    <xf numFmtId="0" fontId="2" fillId="0" borderId="0" xfId="3" applyFill="1"/>
    <xf numFmtId="49" fontId="1" fillId="11" borderId="0" xfId="0" applyNumberFormat="1" applyFont="1" applyFill="1" applyBorder="1" applyAlignment="1">
      <alignment horizontal="left"/>
    </xf>
    <xf numFmtId="0" fontId="1" fillId="0" borderId="0" xfId="0" applyFont="1" applyFill="1"/>
    <xf numFmtId="0" fontId="0" fillId="5" borderId="12" xfId="0" applyFill="1" applyBorder="1" applyAlignment="1">
      <alignment horizontal="right"/>
    </xf>
    <xf numFmtId="0" fontId="0" fillId="5" borderId="9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0" fontId="0" fillId="5" borderId="29" xfId="0" applyFill="1" applyBorder="1" applyAlignment="1">
      <alignment horizontal="right"/>
    </xf>
    <xf numFmtId="0" fontId="4" fillId="5" borderId="34" xfId="0" applyFont="1" applyFill="1" applyBorder="1" applyAlignment="1">
      <alignment horizontal="left"/>
    </xf>
    <xf numFmtId="0" fontId="4" fillId="5" borderId="16" xfId="0" applyFont="1" applyFill="1" applyBorder="1" applyAlignment="1">
      <alignment horizontal="left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>
      <alignment horizontal="left"/>
    </xf>
    <xf numFmtId="0" fontId="2" fillId="0" borderId="0" xfId="3"/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2" fillId="5" borderId="32" xfId="0" applyFont="1" applyFill="1" applyBorder="1" applyAlignment="1">
      <alignment horizontal="right"/>
    </xf>
    <xf numFmtId="0" fontId="0" fillId="5" borderId="42" xfId="0" applyFill="1" applyBorder="1" applyAlignment="1">
      <alignment horizontal="right"/>
    </xf>
    <xf numFmtId="0" fontId="2" fillId="5" borderId="28" xfId="0" applyFont="1" applyFill="1" applyBorder="1" applyAlignment="1">
      <alignment horizontal="right"/>
    </xf>
    <xf numFmtId="0" fontId="2" fillId="5" borderId="29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left"/>
    </xf>
    <xf numFmtId="0" fontId="17" fillId="6" borderId="34" xfId="0" applyFont="1" applyFill="1" applyBorder="1" applyAlignment="1" applyProtection="1">
      <alignment horizontal="center" vertical="center"/>
      <protection locked="0"/>
    </xf>
    <xf numFmtId="0" fontId="17" fillId="6" borderId="35" xfId="0" applyFont="1" applyFill="1" applyBorder="1" applyAlignment="1" applyProtection="1">
      <alignment horizontal="center" vertical="center"/>
      <protection locked="0"/>
    </xf>
    <xf numFmtId="0" fontId="17" fillId="6" borderId="34" xfId="0" applyFont="1" applyFill="1" applyBorder="1" applyAlignment="1" applyProtection="1">
      <alignment horizontal="center"/>
      <protection locked="0"/>
    </xf>
    <xf numFmtId="0" fontId="17" fillId="6" borderId="35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 wrapText="1"/>
    </xf>
    <xf numFmtId="0" fontId="11" fillId="6" borderId="34" xfId="0" applyFont="1" applyFill="1" applyBorder="1" applyAlignment="1" applyProtection="1">
      <alignment horizontal="center" vertical="center"/>
    </xf>
    <xf numFmtId="0" fontId="11" fillId="6" borderId="35" xfId="0" applyFont="1" applyFill="1" applyBorder="1" applyAlignment="1" applyProtection="1">
      <alignment horizontal="center" vertical="center"/>
    </xf>
    <xf numFmtId="14" fontId="11" fillId="6" borderId="34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9" fillId="0" borderId="35" xfId="0" applyFont="1" applyFill="1" applyBorder="1" applyAlignment="1" applyProtection="1">
      <alignment horizontal="center"/>
      <protection locked="0"/>
    </xf>
    <xf numFmtId="0" fontId="11" fillId="6" borderId="16" xfId="0" applyFont="1" applyFill="1" applyBorder="1" applyAlignment="1" applyProtection="1">
      <alignment horizontal="center" vertical="center"/>
    </xf>
    <xf numFmtId="0" fontId="17" fillId="6" borderId="34" xfId="0" applyFont="1" applyFill="1" applyBorder="1" applyAlignment="1" applyProtection="1">
      <alignment horizontal="center" vertical="center"/>
    </xf>
    <xf numFmtId="0" fontId="17" fillId="6" borderId="16" xfId="0" applyFont="1" applyFill="1" applyBorder="1" applyAlignment="1" applyProtection="1">
      <alignment horizontal="center" vertical="center"/>
    </xf>
    <xf numFmtId="0" fontId="17" fillId="6" borderId="35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31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33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9" fillId="0" borderId="17" xfId="0" applyFont="1" applyBorder="1" applyAlignment="1">
      <alignment vertical="top" wrapText="1"/>
    </xf>
    <xf numFmtId="0" fontId="4" fillId="5" borderId="32" xfId="0" applyFont="1" applyFill="1" applyBorder="1" applyAlignment="1">
      <alignment horizontal="left"/>
    </xf>
    <xf numFmtId="0" fontId="4" fillId="5" borderId="26" xfId="0" applyFont="1" applyFill="1" applyBorder="1" applyAlignment="1">
      <alignment horizontal="left"/>
    </xf>
    <xf numFmtId="0" fontId="4" fillId="5" borderId="27" xfId="0" applyFont="1" applyFill="1" applyBorder="1" applyAlignment="1">
      <alignment horizontal="left"/>
    </xf>
    <xf numFmtId="0" fontId="1" fillId="0" borderId="34" xfId="4" applyBorder="1" applyAlignment="1" applyProtection="1">
      <alignment horizontal="center" wrapText="1"/>
    </xf>
    <xf numFmtId="0" fontId="1" fillId="0" borderId="16" xfId="4" applyBorder="1" applyAlignment="1" applyProtection="1">
      <alignment horizontal="center" wrapText="1"/>
    </xf>
    <xf numFmtId="0" fontId="1" fillId="0" borderId="35" xfId="4" applyBorder="1" applyAlignment="1" applyProtection="1">
      <alignment horizontal="center" wrapText="1"/>
    </xf>
    <xf numFmtId="0" fontId="1" fillId="0" borderId="34" xfId="4" applyBorder="1" applyAlignment="1" applyProtection="1">
      <alignment horizontal="center" vertical="center"/>
      <protection locked="0"/>
    </xf>
    <xf numFmtId="0" fontId="1" fillId="0" borderId="35" xfId="4" applyBorder="1" applyAlignment="1" applyProtection="1">
      <alignment horizontal="center" vertical="center"/>
      <protection locked="0"/>
    </xf>
    <xf numFmtId="0" fontId="1" fillId="0" borderId="34" xfId="4" applyBorder="1" applyAlignment="1" applyProtection="1">
      <alignment horizontal="center" vertical="center"/>
    </xf>
    <xf numFmtId="0" fontId="1" fillId="0" borderId="35" xfId="4" applyBorder="1" applyAlignment="1" applyProtection="1">
      <alignment horizontal="center" vertical="center"/>
    </xf>
    <xf numFmtId="0" fontId="11" fillId="0" borderId="19" xfId="4" applyFont="1" applyBorder="1" applyAlignment="1">
      <alignment horizontal="center"/>
    </xf>
    <xf numFmtId="0" fontId="11" fillId="0" borderId="20" xfId="4" applyFont="1" applyBorder="1" applyAlignment="1">
      <alignment horizontal="center"/>
    </xf>
    <xf numFmtId="0" fontId="11" fillId="0" borderId="21" xfId="4" applyFont="1" applyBorder="1" applyAlignment="1">
      <alignment horizontal="center"/>
    </xf>
    <xf numFmtId="0" fontId="1" fillId="0" borderId="17" xfId="4" applyBorder="1" applyAlignment="1">
      <alignment horizontal="center"/>
    </xf>
    <xf numFmtId="0" fontId="1" fillId="0" borderId="0" xfId="4" applyBorder="1" applyAlignment="1">
      <alignment horizontal="center"/>
    </xf>
    <xf numFmtId="0" fontId="1" fillId="0" borderId="18" xfId="4" applyBorder="1" applyAlignment="1">
      <alignment horizontal="center"/>
    </xf>
    <xf numFmtId="0" fontId="1" fillId="0" borderId="2" xfId="4" applyFont="1" applyBorder="1" applyAlignment="1" applyProtection="1">
      <alignment horizontal="left" vertical="top" wrapText="1"/>
      <protection locked="0"/>
    </xf>
    <xf numFmtId="0" fontId="1" fillId="0" borderId="2" xfId="4" applyBorder="1" applyAlignment="1" applyProtection="1">
      <alignment horizontal="left" vertical="top" wrapText="1"/>
      <protection locked="0"/>
    </xf>
    <xf numFmtId="0" fontId="1" fillId="0" borderId="2" xfId="4" applyBorder="1" applyAlignment="1" applyProtection="1">
      <alignment horizontal="center" vertical="top" wrapText="1"/>
      <protection locked="0"/>
    </xf>
    <xf numFmtId="0" fontId="11" fillId="0" borderId="2" xfId="4" applyFont="1" applyBorder="1" applyAlignment="1" applyProtection="1">
      <alignment horizontal="center"/>
    </xf>
    <xf numFmtId="0" fontId="1" fillId="0" borderId="2" xfId="4" applyFont="1" applyBorder="1" applyAlignment="1" applyProtection="1">
      <alignment horizontal="center" vertical="top" wrapText="1"/>
      <protection locked="0"/>
    </xf>
    <xf numFmtId="0" fontId="1" fillId="0" borderId="13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2" xfId="4" applyBorder="1" applyAlignment="1">
      <alignment horizontal="center"/>
    </xf>
    <xf numFmtId="0" fontId="11" fillId="0" borderId="0" xfId="4" applyFont="1" applyAlignment="1">
      <alignment horizontal="center" wrapText="1"/>
    </xf>
    <xf numFmtId="0" fontId="1" fillId="0" borderId="36" xfId="4" applyBorder="1" applyAlignment="1">
      <alignment horizontal="center" wrapText="1"/>
    </xf>
    <xf numFmtId="0" fontId="1" fillId="0" borderId="0" xfId="4" applyBorder="1" applyAlignment="1">
      <alignment horizontal="center" wrapText="1"/>
    </xf>
    <xf numFmtId="0" fontId="0" fillId="0" borderId="22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29" xfId="0" applyBorder="1" applyAlignment="1">
      <alignment horizontal="left"/>
    </xf>
    <xf numFmtId="2" fontId="11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0" fillId="0" borderId="0" xfId="0" applyNumberFormat="1" applyBorder="1" applyAlignment="1">
      <alignment vertical="center"/>
    </xf>
    <xf numFmtId="0" fontId="0" fillId="0" borderId="0" xfId="0" applyAlignment="1"/>
    <xf numFmtId="2" fontId="0" fillId="0" borderId="0" xfId="0" applyNumberFormat="1" applyAlignment="1">
      <alignment horizontal="center" vertical="center"/>
    </xf>
    <xf numFmtId="2" fontId="24" fillId="0" borderId="0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0" fillId="0" borderId="0" xfId="0" applyNumberFormat="1" applyFill="1" applyBorder="1" applyAlignment="1"/>
  </cellXfs>
  <cellStyles count="7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_Error Damage Blank vF" xfId="4" xr:uid="{00000000-0005-0000-0000-000004000000}"/>
    <cellStyle name="Normal_order test 3" xfId="5" xr:uid="{00000000-0005-0000-0000-000005000000}"/>
    <cellStyle name="Percent" xfId="6" builtinId="5"/>
  </cellStyles>
  <dxfs count="15">
    <dxf>
      <font>
        <color auto="1"/>
      </font>
      <fill>
        <patternFill>
          <bgColor theme="0" tint="-0.34998626667073579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30"/>
        </patternFill>
      </fill>
    </dxf>
    <dxf>
      <font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FFFFF"/>
      <rgbColor rgb="00FFFF00"/>
      <rgbColor rgb="00FF00FF"/>
      <rgbColor rgb="008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FFFFF"/>
      <rgbColor rgb="00CCFFFF"/>
      <rgbColor rgb="00CCFFCC"/>
      <rgbColor rgb="00FFFF99"/>
      <rgbColor rgb="008080FF"/>
      <rgbColor rgb="00FF99CC"/>
      <rgbColor rgb="00CC99FF"/>
      <rgbColor rgb="00FFCC99"/>
      <rgbColor rgb="00BFFF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'Price Calculations'!$X$68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'Price Calculations'!#REF!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4526" name="Picture 112" descr="S-CRAFT reduced for L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</xdr:row>
          <xdr:rowOff>0</xdr:rowOff>
        </xdr:from>
        <xdr:to>
          <xdr:col>15</xdr:col>
          <xdr:colOff>9525</xdr:colOff>
          <xdr:row>6</xdr:row>
          <xdr:rowOff>47625</xdr:rowOff>
        </xdr:to>
        <xdr:sp macro="" textlink="">
          <xdr:nvSpPr>
            <xdr:cNvPr id="4327" name="Group Box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0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13</xdr:col>
          <xdr:colOff>657225</xdr:colOff>
          <xdr:row>6</xdr:row>
          <xdr:rowOff>38100</xdr:rowOff>
        </xdr:to>
        <xdr:sp macro="" textlink="">
          <xdr:nvSpPr>
            <xdr:cNvPr id="4328" name="Option Button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733425</xdr:colOff>
          <xdr:row>5</xdr:row>
          <xdr:rowOff>19050</xdr:rowOff>
        </xdr:from>
        <xdr:to>
          <xdr:col>14</xdr:col>
          <xdr:colOff>600075</xdr:colOff>
          <xdr:row>6</xdr:row>
          <xdr:rowOff>38100</xdr:rowOff>
        </xdr:to>
        <xdr:sp macro="" textlink="">
          <xdr:nvSpPr>
            <xdr:cNvPr id="4330" name="Option Button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0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12416" name="Picture 112" descr="S-CRAFT reduced for L">
          <a:extLst>
            <a:ext uri="{FF2B5EF4-FFF2-40B4-BE49-F238E27FC236}">
              <a16:creationId xmlns:a16="http://schemas.microsoft.com/office/drawing/2014/main" id="{00000000-0008-0000-0100-000080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666750</xdr:colOff>
          <xdr:row>5</xdr:row>
          <xdr:rowOff>0</xdr:rowOff>
        </xdr:from>
        <xdr:to>
          <xdr:col>15</xdr:col>
          <xdr:colOff>0</xdr:colOff>
          <xdr:row>6</xdr:row>
          <xdr:rowOff>47625</xdr:rowOff>
        </xdr:to>
        <xdr:sp macro="" textlink="">
          <xdr:nvSpPr>
            <xdr:cNvPr id="12289" name="Group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14</xdr:col>
          <xdr:colOff>47625</xdr:colOff>
          <xdr:row>6</xdr:row>
          <xdr:rowOff>38100</xdr:rowOff>
        </xdr:to>
        <xdr:sp macro="" textlink="">
          <xdr:nvSpPr>
            <xdr:cNvPr id="12290" name="Option 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5</xdr:row>
          <xdr:rowOff>19050</xdr:rowOff>
        </xdr:from>
        <xdr:to>
          <xdr:col>14</xdr:col>
          <xdr:colOff>800100</xdr:colOff>
          <xdr:row>6</xdr:row>
          <xdr:rowOff>38100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85725</xdr:colOff>
      <xdr:row>15</xdr:row>
      <xdr:rowOff>47625</xdr:rowOff>
    </xdr:to>
    <xdr:pic>
      <xdr:nvPicPr>
        <xdr:cNvPr id="10401" name="Picture 1" descr="S-CRAFT">
          <a:extLst>
            <a:ext uri="{FF2B5EF4-FFF2-40B4-BE49-F238E27FC236}">
              <a16:creationId xmlns:a16="http://schemas.microsoft.com/office/drawing/2014/main" id="{00000000-0008-0000-0200-0000A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5"/>
  <sheetViews>
    <sheetView showZeros="0" tabSelected="1" workbookViewId="0">
      <selection activeCell="R15" sqref="R15"/>
    </sheetView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4" width="9.85546875" customWidth="1"/>
    <col min="5" max="5" width="7.140625" customWidth="1"/>
    <col min="6" max="6" width="8.85546875" customWidth="1"/>
    <col min="7" max="7" width="10" bestFit="1" customWidth="1"/>
    <col min="8" max="8" width="11.140625" customWidth="1"/>
    <col min="9" max="9" width="8.7109375" customWidth="1"/>
    <col min="10" max="10" width="14.5703125" customWidth="1"/>
    <col min="11" max="11" width="9.7109375" customWidth="1"/>
    <col min="12" max="12" width="11.140625" customWidth="1"/>
    <col min="13" max="13" width="12.85546875" customWidth="1"/>
    <col min="14" max="14" width="12.7109375" customWidth="1"/>
    <col min="15" max="15" width="9.140625" customWidth="1"/>
    <col min="16" max="16" width="1" customWidth="1"/>
  </cols>
  <sheetData>
    <row r="1" spans="1:20" ht="29.25" customHeight="1" thickBot="1" x14ac:dyDescent="0.25">
      <c r="A1" s="15">
        <f>'Price Calculations'!H19</f>
        <v>1.0835999999999999</v>
      </c>
      <c r="B1" s="17" t="str">
        <f>'Price Calculations'!D1</f>
        <v>Trade</v>
      </c>
      <c r="C1" s="53"/>
      <c r="D1" s="244" t="str">
        <f ca="1">IF(TODAY()&lt;40589,"This Form is Not Valid until 15th Feb","The PureWood Order Form")</f>
        <v>The PureWood Order Form</v>
      </c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64">
        <v>0.3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52" t="s">
        <v>344</v>
      </c>
      <c r="F2" s="253"/>
      <c r="G2" s="254"/>
      <c r="H2" s="31"/>
      <c r="I2" s="32" t="s">
        <v>103</v>
      </c>
      <c r="J2" s="240" t="s">
        <v>347</v>
      </c>
      <c r="K2" s="241"/>
      <c r="L2" s="31"/>
      <c r="M2" s="32" t="s">
        <v>104</v>
      </c>
      <c r="N2" s="245"/>
      <c r="O2" s="246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45" t="s">
        <v>345</v>
      </c>
      <c r="F4" s="251"/>
      <c r="G4" s="246"/>
      <c r="H4" s="29"/>
      <c r="I4" s="38" t="s">
        <v>105</v>
      </c>
      <c r="J4" s="242" t="s">
        <v>348</v>
      </c>
      <c r="K4" s="243"/>
      <c r="L4" s="34"/>
      <c r="M4" s="32" t="s">
        <v>106</v>
      </c>
      <c r="N4" s="247"/>
      <c r="O4" s="246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55"/>
      <c r="L5" s="255"/>
      <c r="M5" s="255"/>
      <c r="N5" s="255"/>
      <c r="O5" s="41"/>
      <c r="P5" s="5"/>
    </row>
    <row r="6" spans="1:20" ht="15.75" customHeight="1" thickBot="1" x14ac:dyDescent="0.25">
      <c r="A6" s="239" t="s">
        <v>119</v>
      </c>
      <c r="B6" s="239"/>
      <c r="C6" s="239"/>
      <c r="D6" s="42" t="s">
        <v>97</v>
      </c>
      <c r="E6" s="248" t="s">
        <v>265</v>
      </c>
      <c r="F6" s="249"/>
      <c r="G6" s="250"/>
      <c r="H6" s="43"/>
      <c r="I6" s="42" t="s">
        <v>61</v>
      </c>
      <c r="J6" s="242" t="s">
        <v>246</v>
      </c>
      <c r="K6" s="243"/>
      <c r="L6" s="54"/>
      <c r="M6" s="32" t="s">
        <v>182</v>
      </c>
      <c r="O6" s="178"/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">
        <v>0</v>
      </c>
      <c r="D8" s="187" t="s">
        <v>14</v>
      </c>
      <c r="E8" s="187" t="s">
        <v>22</v>
      </c>
      <c r="F8" s="187" t="s">
        <v>18</v>
      </c>
      <c r="G8" s="187" t="s">
        <v>84</v>
      </c>
      <c r="H8" s="187" t="s">
        <v>15</v>
      </c>
      <c r="I8" s="187" t="s">
        <v>20</v>
      </c>
      <c r="J8" s="187" t="s">
        <v>134</v>
      </c>
      <c r="K8" s="187" t="s">
        <v>75</v>
      </c>
      <c r="L8" s="187" t="s">
        <v>293</v>
      </c>
      <c r="M8" s="187" t="s">
        <v>153</v>
      </c>
      <c r="N8" s="187" t="s">
        <v>1</v>
      </c>
      <c r="O8" s="180" t="s">
        <v>305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71" t="s">
        <v>349</v>
      </c>
      <c r="D9" s="12">
        <v>1</v>
      </c>
      <c r="E9" s="12" t="s">
        <v>11</v>
      </c>
      <c r="F9" s="12" t="s">
        <v>65</v>
      </c>
      <c r="G9" s="12" t="s">
        <v>275</v>
      </c>
      <c r="H9" s="12">
        <v>840</v>
      </c>
      <c r="I9" s="12">
        <v>1290</v>
      </c>
      <c r="J9" s="172">
        <f>'Price Calculations'!H8</f>
        <v>1.0835999999999999</v>
      </c>
      <c r="K9" s="12" t="s">
        <v>283</v>
      </c>
      <c r="L9" s="12" t="s">
        <v>91</v>
      </c>
      <c r="M9" s="12" t="s">
        <v>91</v>
      </c>
      <c r="N9" s="12" t="s">
        <v>85</v>
      </c>
      <c r="O9" s="192" t="s">
        <v>85</v>
      </c>
    </row>
    <row r="10" spans="1:20" ht="15" customHeight="1" x14ac:dyDescent="0.2">
      <c r="B10" s="9" t="s">
        <v>3</v>
      </c>
      <c r="C10" s="179"/>
      <c r="D10" s="13"/>
      <c r="E10" s="13"/>
      <c r="F10" s="13"/>
      <c r="G10" s="13"/>
      <c r="H10" s="13"/>
      <c r="I10" s="13"/>
      <c r="J10" s="172">
        <f>'Price Calculations'!H9</f>
        <v>0</v>
      </c>
      <c r="K10" s="13"/>
      <c r="L10" s="13"/>
      <c r="M10" s="13"/>
      <c r="N10" s="13"/>
      <c r="O10" s="193"/>
    </row>
    <row r="11" spans="1:20" ht="15" customHeight="1" x14ac:dyDescent="0.2">
      <c r="B11" s="10" t="s">
        <v>4</v>
      </c>
      <c r="C11" s="118"/>
      <c r="D11" s="14"/>
      <c r="E11" s="14"/>
      <c r="F11" s="14"/>
      <c r="G11" s="14"/>
      <c r="H11" s="14"/>
      <c r="I11" s="14"/>
      <c r="J11" s="173">
        <f>'Price Calculations'!H10</f>
        <v>0</v>
      </c>
      <c r="K11" s="14"/>
      <c r="L11" s="14"/>
      <c r="M11" s="14"/>
      <c r="N11" s="14"/>
      <c r="O11" s="194"/>
    </row>
    <row r="12" spans="1:20" s="6" customFormat="1" ht="15" customHeight="1" x14ac:dyDescent="0.2">
      <c r="A12"/>
      <c r="B12" s="9" t="s">
        <v>5</v>
      </c>
      <c r="C12" s="117"/>
      <c r="D12" s="13"/>
      <c r="E12" s="13"/>
      <c r="F12" s="13"/>
      <c r="G12" s="13"/>
      <c r="H12" s="13"/>
      <c r="I12" s="13"/>
      <c r="J12" s="172">
        <f>'Price Calculations'!H11</f>
        <v>0</v>
      </c>
      <c r="K12" s="13"/>
      <c r="L12" s="13"/>
      <c r="M12" s="13"/>
      <c r="N12" s="13"/>
      <c r="O12" s="193"/>
      <c r="P12"/>
      <c r="Q12"/>
      <c r="R12"/>
      <c r="S12"/>
      <c r="T12"/>
    </row>
    <row r="13" spans="1:20" ht="15" customHeight="1" x14ac:dyDescent="0.2">
      <c r="B13" s="8" t="s">
        <v>6</v>
      </c>
      <c r="C13" s="119"/>
      <c r="D13" s="12"/>
      <c r="E13" s="12"/>
      <c r="F13" s="12"/>
      <c r="G13" s="12"/>
      <c r="H13" s="12"/>
      <c r="I13" s="12"/>
      <c r="J13" s="174">
        <f>'Price Calculations'!H12</f>
        <v>0</v>
      </c>
      <c r="K13" s="12"/>
      <c r="L13" s="12"/>
      <c r="M13" s="12"/>
      <c r="N13" s="12"/>
      <c r="O13" s="192"/>
    </row>
    <row r="14" spans="1:20" s="6" customFormat="1" ht="15" customHeight="1" x14ac:dyDescent="0.2">
      <c r="A14"/>
      <c r="B14" s="49" t="s">
        <v>107</v>
      </c>
      <c r="C14" s="117"/>
      <c r="D14" s="50"/>
      <c r="E14" s="50"/>
      <c r="F14" s="50"/>
      <c r="G14" s="50"/>
      <c r="H14" s="50"/>
      <c r="I14" s="50"/>
      <c r="J14" s="175">
        <f>'Price Calculations'!H13</f>
        <v>0</v>
      </c>
      <c r="K14" s="50"/>
      <c r="L14" s="50"/>
      <c r="M14" s="50"/>
      <c r="N14" s="50"/>
      <c r="O14" s="195"/>
      <c r="P14"/>
      <c r="Q14"/>
      <c r="R14"/>
      <c r="S14"/>
      <c r="T14"/>
    </row>
    <row r="15" spans="1:20" ht="15" customHeight="1" x14ac:dyDescent="0.2">
      <c r="B15" s="10" t="s">
        <v>108</v>
      </c>
      <c r="C15" s="118"/>
      <c r="D15" s="14"/>
      <c r="E15" s="14"/>
      <c r="F15" s="14"/>
      <c r="G15" s="14"/>
      <c r="H15" s="14"/>
      <c r="I15" s="14"/>
      <c r="J15" s="173">
        <f>'Price Calculations'!H14</f>
        <v>0</v>
      </c>
      <c r="K15" s="14"/>
      <c r="L15" s="14"/>
      <c r="M15" s="14"/>
      <c r="N15" s="14"/>
      <c r="O15" s="194"/>
    </row>
    <row r="16" spans="1:20" s="6" customFormat="1" ht="15" customHeight="1" x14ac:dyDescent="0.2">
      <c r="A16"/>
      <c r="B16" s="49" t="s">
        <v>109</v>
      </c>
      <c r="C16" s="117"/>
      <c r="D16" s="50"/>
      <c r="E16" s="50"/>
      <c r="F16" s="50"/>
      <c r="G16" s="50"/>
      <c r="H16" s="50"/>
      <c r="I16" s="50"/>
      <c r="J16" s="175">
        <f>'Price Calculations'!H15</f>
        <v>0</v>
      </c>
      <c r="K16" s="50"/>
      <c r="L16" s="50"/>
      <c r="M16" s="50"/>
      <c r="N16" s="50"/>
      <c r="O16" s="195"/>
      <c r="P16"/>
      <c r="Q16"/>
      <c r="R16"/>
      <c r="S16"/>
      <c r="T16"/>
    </row>
    <row r="17" spans="1:21" ht="15" customHeight="1" x14ac:dyDescent="0.2">
      <c r="B17" s="8" t="s">
        <v>110</v>
      </c>
      <c r="C17" s="119"/>
      <c r="D17" s="12"/>
      <c r="E17" s="12"/>
      <c r="F17" s="12"/>
      <c r="G17" s="12"/>
      <c r="H17" s="12"/>
      <c r="I17" s="12"/>
      <c r="J17" s="174">
        <f>'Price Calculations'!H16</f>
        <v>0</v>
      </c>
      <c r="K17" s="12"/>
      <c r="L17" s="12"/>
      <c r="M17" s="12"/>
      <c r="N17" s="12"/>
      <c r="O17" s="192"/>
    </row>
    <row r="18" spans="1:21" s="6" customFormat="1" ht="15" customHeight="1" x14ac:dyDescent="0.2">
      <c r="A18"/>
      <c r="B18" s="49" t="s">
        <v>111</v>
      </c>
      <c r="C18" s="117"/>
      <c r="D18" s="50"/>
      <c r="E18" s="50"/>
      <c r="F18" s="50"/>
      <c r="G18" s="50"/>
      <c r="H18" s="50"/>
      <c r="I18" s="50"/>
      <c r="J18" s="175">
        <f>'Price Calculations'!H17</f>
        <v>0</v>
      </c>
      <c r="K18" s="50"/>
      <c r="L18" s="50"/>
      <c r="M18" s="50"/>
      <c r="N18" s="50"/>
      <c r="O18" s="195"/>
      <c r="P18"/>
      <c r="Q18"/>
      <c r="R18"/>
      <c r="S18"/>
      <c r="T18"/>
    </row>
    <row r="19" spans="1:21" ht="15" customHeight="1" thickBot="1" x14ac:dyDescent="0.25">
      <c r="B19" s="76" t="s">
        <v>112</v>
      </c>
      <c r="C19" s="182"/>
      <c r="D19" s="77"/>
      <c r="E19" s="77"/>
      <c r="F19" s="77"/>
      <c r="G19" s="77"/>
      <c r="H19" s="77"/>
      <c r="I19" s="77"/>
      <c r="J19" s="176">
        <f>'Price Calculations'!H18</f>
        <v>0</v>
      </c>
      <c r="K19" s="77"/>
      <c r="L19" s="77"/>
      <c r="M19" s="77"/>
      <c r="N19" s="77"/>
      <c r="O19" s="196"/>
    </row>
    <row r="20" spans="1:21" s="61" customFormat="1" ht="15" customHeight="1" thickBot="1" x14ac:dyDescent="0.25">
      <c r="C20" s="188"/>
      <c r="D20" s="188"/>
      <c r="E20" s="188"/>
      <c r="F20" s="189"/>
      <c r="G20" s="190"/>
      <c r="H20" s="191"/>
      <c r="I20" s="190"/>
      <c r="J20" s="177">
        <f>SUM(J9:J19)</f>
        <v>1.0835999999999999</v>
      </c>
      <c r="K20" s="82" t="s">
        <v>136</v>
      </c>
      <c r="O20" s="181" t="e">
        <f>IF(OR(LEFT(F9,1)="L",LEFT(F9,1)="O"),b_CustomConsolidColours,b_ConsolidColours)</f>
        <v>#VALUE!</v>
      </c>
    </row>
    <row r="21" spans="1:21" ht="5.25" customHeight="1" thickBot="1" x14ac:dyDescent="0.25"/>
    <row r="22" spans="1:21" ht="23.25" customHeight="1" x14ac:dyDescent="0.2">
      <c r="A22" s="6"/>
      <c r="B22" s="44" t="s">
        <v>17</v>
      </c>
      <c r="C22" s="45" t="s">
        <v>294</v>
      </c>
      <c r="D22" s="45" t="s">
        <v>30</v>
      </c>
      <c r="E22" s="45" t="s">
        <v>26</v>
      </c>
      <c r="F22" s="45" t="s">
        <v>27</v>
      </c>
      <c r="G22" s="68" t="s">
        <v>29</v>
      </c>
      <c r="H22" s="45" t="s">
        <v>271</v>
      </c>
      <c r="I22" s="68" t="s">
        <v>28</v>
      </c>
      <c r="J22" s="45" t="str">
        <f>IF(WoodType="Vogue"," ","Cut-Outs")</f>
        <v>Cut-Outs</v>
      </c>
      <c r="K22" s="147" t="str">
        <f>IF(WoodType="Vogue"," ","Qty Blinds per Headrail")</f>
        <v>Qty Blinds per Headrail</v>
      </c>
      <c r="L22" s="212" t="s">
        <v>307</v>
      </c>
      <c r="M22" s="206" t="s">
        <v>314</v>
      </c>
      <c r="N22" s="44" t="s">
        <v>7</v>
      </c>
      <c r="O22" s="197" t="s">
        <v>8</v>
      </c>
      <c r="Q22" s="6"/>
      <c r="R22" s="6"/>
      <c r="S22" s="6"/>
      <c r="T22" s="6"/>
      <c r="U22" s="6"/>
    </row>
    <row r="23" spans="1:21" ht="15" customHeight="1" x14ac:dyDescent="0.2">
      <c r="B23" s="8" t="s">
        <v>2</v>
      </c>
      <c r="C23" s="12" t="s">
        <v>91</v>
      </c>
      <c r="D23" s="12" t="s">
        <v>239</v>
      </c>
      <c r="E23" s="12" t="s">
        <v>56</v>
      </c>
      <c r="F23" s="12" t="s">
        <v>57</v>
      </c>
      <c r="G23" s="136" t="s">
        <v>195</v>
      </c>
      <c r="H23" s="136">
        <v>40</v>
      </c>
      <c r="I23" s="69" t="s">
        <v>138</v>
      </c>
      <c r="J23" s="12" t="s">
        <v>35</v>
      </c>
      <c r="K23" s="141">
        <v>1</v>
      </c>
      <c r="L23" s="12" t="s">
        <v>113</v>
      </c>
      <c r="M23" s="207" t="s">
        <v>334</v>
      </c>
      <c r="N23" s="8">
        <f ca="1">IF(ISNA('Price Calculations'!Z38),"",ROUND('Price Calculations'!Z38,2))</f>
        <v>71.09</v>
      </c>
      <c r="O23" s="213">
        <f ca="1">IF(C9="","",IF(ISNA('Price Calculations'!AA38),"Incomplete details",'Price Calculations'!AA38))</f>
        <v>71.09</v>
      </c>
    </row>
    <row r="24" spans="1:21" ht="15" customHeight="1" x14ac:dyDescent="0.2">
      <c r="B24" s="9" t="s">
        <v>3</v>
      </c>
      <c r="C24" s="13"/>
      <c r="D24" s="13"/>
      <c r="E24" s="13"/>
      <c r="F24" s="13"/>
      <c r="G24" s="137"/>
      <c r="H24" s="137"/>
      <c r="I24" s="70"/>
      <c r="J24" s="13"/>
      <c r="K24" s="142"/>
      <c r="L24" s="13"/>
      <c r="M24" s="208"/>
      <c r="N24" s="9">
        <f ca="1">IF(ISNA('Price Calculations'!Z39),"",ROUND('Price Calculations'!Z39,2))</f>
        <v>0</v>
      </c>
      <c r="O24" s="199" t="str">
        <f>IF(C10="","",IF(ISNA('Price Calculations'!AA39),"Incomplete details",'Price Calculations'!AA39))</f>
        <v/>
      </c>
    </row>
    <row r="25" spans="1:21" ht="15" customHeight="1" x14ac:dyDescent="0.2">
      <c r="B25" s="10" t="s">
        <v>4</v>
      </c>
      <c r="C25" s="14"/>
      <c r="D25" s="14"/>
      <c r="E25" s="14"/>
      <c r="F25" s="14"/>
      <c r="G25" s="138"/>
      <c r="H25" s="138"/>
      <c r="I25" s="71"/>
      <c r="J25" s="14"/>
      <c r="K25" s="143"/>
      <c r="L25" s="14"/>
      <c r="M25" s="209"/>
      <c r="N25" s="10">
        <f ca="1">IF(ISNA('Price Calculations'!Z40),"",ROUND('Price Calculations'!Z40,2))</f>
        <v>0</v>
      </c>
      <c r="O25" s="198" t="str">
        <f>IF(C11="","",IF(ISNA('Price Calculations'!AA40),"Incomplete details",'Price Calculations'!AA40))</f>
        <v/>
      </c>
    </row>
    <row r="26" spans="1:21" ht="15" customHeight="1" x14ac:dyDescent="0.2">
      <c r="B26" s="9" t="s">
        <v>5</v>
      </c>
      <c r="C26" s="13"/>
      <c r="D26" s="13"/>
      <c r="E26" s="13"/>
      <c r="F26" s="13"/>
      <c r="G26" s="137"/>
      <c r="H26" s="137"/>
      <c r="I26" s="70"/>
      <c r="J26" s="13"/>
      <c r="K26" s="142"/>
      <c r="L26" s="13"/>
      <c r="M26" s="208"/>
      <c r="N26" s="9">
        <f ca="1">IF(ISNA('Price Calculations'!Z41),"",ROUND('Price Calculations'!Z41,2))</f>
        <v>0</v>
      </c>
      <c r="O26" s="199" t="str">
        <f>IF(C12="","",IF(ISNA('Price Calculations'!AA41),"Incomplete details",'Price Calculations'!AA41))</f>
        <v/>
      </c>
    </row>
    <row r="27" spans="1:21" ht="15" customHeight="1" x14ac:dyDescent="0.2">
      <c r="B27" s="8" t="s">
        <v>6</v>
      </c>
      <c r="C27" s="12"/>
      <c r="D27" s="12"/>
      <c r="E27" s="12"/>
      <c r="F27" s="12"/>
      <c r="G27" s="136"/>
      <c r="H27" s="136"/>
      <c r="I27" s="69"/>
      <c r="J27" s="12"/>
      <c r="K27" s="141"/>
      <c r="L27" s="12"/>
      <c r="M27" s="207"/>
      <c r="N27" s="8">
        <f ca="1">IF(ISNA('Price Calculations'!Z42),"",ROUND('Price Calculations'!Z42,2))</f>
        <v>0</v>
      </c>
      <c r="O27" s="213" t="str">
        <f>IF(C13="","",IF(ISNA('Price Calculations'!AA42),"Incomplete details",'Price Calculations'!AA42))</f>
        <v/>
      </c>
    </row>
    <row r="28" spans="1:21" ht="15" customHeight="1" x14ac:dyDescent="0.2">
      <c r="B28" s="49" t="s">
        <v>107</v>
      </c>
      <c r="C28" s="50"/>
      <c r="D28" s="50"/>
      <c r="E28" s="50"/>
      <c r="F28" s="50"/>
      <c r="G28" s="137"/>
      <c r="H28" s="137"/>
      <c r="I28" s="70"/>
      <c r="J28" s="50"/>
      <c r="K28" s="148"/>
      <c r="L28" s="50"/>
      <c r="M28" s="210"/>
      <c r="N28" s="49">
        <f ca="1">IF(ISNA('Price Calculations'!Z43),"",ROUND('Price Calculations'!Z43,2))</f>
        <v>0</v>
      </c>
      <c r="O28" s="199" t="str">
        <f>IF(C14="","",IF(ISNA('Price Calculations'!AA43),"Incomplete details",'Price Calculations'!AA43))</f>
        <v/>
      </c>
    </row>
    <row r="29" spans="1:21" ht="15" customHeight="1" x14ac:dyDescent="0.2">
      <c r="B29" s="10" t="s">
        <v>108</v>
      </c>
      <c r="C29" s="14"/>
      <c r="D29" s="14"/>
      <c r="E29" s="14"/>
      <c r="F29" s="14"/>
      <c r="G29" s="138"/>
      <c r="H29" s="138"/>
      <c r="I29" s="71"/>
      <c r="J29" s="14"/>
      <c r="K29" s="143"/>
      <c r="L29" s="14"/>
      <c r="M29" s="209"/>
      <c r="N29" s="10">
        <f ca="1">IF(ISNA('Price Calculations'!Z44),"",ROUND('Price Calculations'!Z44,2))</f>
        <v>0</v>
      </c>
      <c r="O29" s="198" t="str">
        <f>IF(C15="","",IF(ISNA('Price Calculations'!AA44),"Incomplete details",'Price Calculations'!AA44))</f>
        <v/>
      </c>
    </row>
    <row r="30" spans="1:21" ht="15" customHeight="1" x14ac:dyDescent="0.2">
      <c r="B30" s="49" t="s">
        <v>109</v>
      </c>
      <c r="C30" s="50"/>
      <c r="D30" s="50"/>
      <c r="E30" s="50"/>
      <c r="F30" s="50"/>
      <c r="G30" s="137"/>
      <c r="H30" s="137"/>
      <c r="I30" s="70"/>
      <c r="J30" s="50"/>
      <c r="K30" s="148"/>
      <c r="L30" s="50"/>
      <c r="M30" s="210"/>
      <c r="N30" s="49">
        <f ca="1">IF(ISNA('Price Calculations'!Z45),"",ROUND('Price Calculations'!Z45,2))</f>
        <v>0</v>
      </c>
      <c r="O30" s="199" t="str">
        <f>IF(C16="","",IF(ISNA('Price Calculations'!AA45),"Incomplete details",'Price Calculations'!AA45))</f>
        <v/>
      </c>
    </row>
    <row r="31" spans="1:21" ht="15" customHeight="1" x14ac:dyDescent="0.2">
      <c r="B31" s="8" t="s">
        <v>110</v>
      </c>
      <c r="C31" s="12"/>
      <c r="D31" s="12"/>
      <c r="E31" s="12"/>
      <c r="F31" s="12"/>
      <c r="G31" s="136"/>
      <c r="H31" s="136"/>
      <c r="I31" s="69"/>
      <c r="J31" s="12"/>
      <c r="K31" s="141"/>
      <c r="L31" s="12"/>
      <c r="M31" s="207"/>
      <c r="N31" s="8">
        <f ca="1">IF(ISNA('Price Calculations'!Z46),"",ROUND('Price Calculations'!Z46,2))</f>
        <v>0</v>
      </c>
      <c r="O31" s="213" t="str">
        <f>IF(C17="","",IF(ISNA('Price Calculations'!AA46),"Incomplete details",'Price Calculations'!AA46))</f>
        <v/>
      </c>
    </row>
    <row r="32" spans="1:21" ht="15" customHeight="1" x14ac:dyDescent="0.2">
      <c r="B32" s="49" t="s">
        <v>111</v>
      </c>
      <c r="C32" s="50"/>
      <c r="D32" s="50"/>
      <c r="E32" s="50"/>
      <c r="F32" s="50"/>
      <c r="G32" s="137"/>
      <c r="H32" s="137"/>
      <c r="I32" s="70"/>
      <c r="J32" s="50"/>
      <c r="K32" s="148"/>
      <c r="L32" s="50"/>
      <c r="M32" s="210"/>
      <c r="N32" s="49">
        <f ca="1">IF(ISNA('Price Calculations'!Z47),"",ROUND('Price Calculations'!Z47,2))</f>
        <v>0</v>
      </c>
      <c r="O32" s="199" t="str">
        <f>IF(C18="","",IF(ISNA('Price Calculations'!AA47),"Incomplete details",'Price Calculations'!AA47))</f>
        <v/>
      </c>
    </row>
    <row r="33" spans="2:16" ht="15" customHeight="1" thickBot="1" x14ac:dyDescent="0.25">
      <c r="B33" s="76" t="s">
        <v>112</v>
      </c>
      <c r="C33" s="77"/>
      <c r="D33" s="77"/>
      <c r="E33" s="77"/>
      <c r="F33" s="77"/>
      <c r="G33" s="139"/>
      <c r="H33" s="139"/>
      <c r="I33" s="78"/>
      <c r="J33" s="77"/>
      <c r="K33" s="144"/>
      <c r="L33" s="77"/>
      <c r="M33" s="211"/>
      <c r="N33" s="76">
        <f ca="1">IF(ISNA('Price Calculations'!Z48),"",ROUND('Price Calculations'!Z48,2))</f>
        <v>0</v>
      </c>
      <c r="O33" s="200" t="str">
        <f>IF(C19="","",IF(ISNA('Price Calculations'!AA48),"Incomplete details",'Price Calculations'!AA48))</f>
        <v/>
      </c>
    </row>
    <row r="34" spans="2:16" ht="4.5" customHeight="1" thickBot="1" x14ac:dyDescent="0.25"/>
    <row r="35" spans="2:16" ht="13.5" customHeight="1" thickBot="1" x14ac:dyDescent="0.25">
      <c r="B35" s="223" t="s">
        <v>64</v>
      </c>
      <c r="C35" s="224"/>
      <c r="D35" s="224"/>
      <c r="E35" s="224"/>
      <c r="F35" s="224"/>
      <c r="G35" s="224"/>
      <c r="H35" s="223" t="str">
        <f>IF(DeliverAddress="Alternative","Alternative Address","")</f>
        <v/>
      </c>
      <c r="I35" s="231"/>
      <c r="J35" s="146" t="s">
        <v>255</v>
      </c>
      <c r="K35" s="214"/>
      <c r="L35" t="str">
        <f>IF(L36&lt;&gt;" ","Extras","")</f>
        <v/>
      </c>
      <c r="M35" s="232"/>
      <c r="N35" s="232"/>
      <c r="O35" s="215">
        <f>'Price Calculations'!D54</f>
        <v>0</v>
      </c>
      <c r="P35" s="204"/>
    </row>
    <row r="36" spans="2:16" x14ac:dyDescent="0.2">
      <c r="B36" s="225"/>
      <c r="C36" s="226"/>
      <c r="D36" s="226"/>
      <c r="E36" s="226"/>
      <c r="F36" s="226"/>
      <c r="G36" s="226"/>
      <c r="H36" s="226"/>
      <c r="I36" s="226"/>
      <c r="J36" s="149"/>
      <c r="K36" s="201"/>
      <c r="L36" s="145" t="str">
        <f>'Price Calculations'!Z59</f>
        <v xml:space="preserve"> </v>
      </c>
      <c r="M36" s="235" t="s">
        <v>256</v>
      </c>
      <c r="N36" s="236"/>
      <c r="O36" s="202">
        <f ca="1">'Price Calculations'!X60</f>
        <v>0</v>
      </c>
      <c r="P36" s="204"/>
    </row>
    <row r="37" spans="2:16" x14ac:dyDescent="0.2">
      <c r="B37" s="227"/>
      <c r="C37" s="228"/>
      <c r="D37" s="228"/>
      <c r="E37" s="228"/>
      <c r="F37" s="228"/>
      <c r="G37" s="228"/>
      <c r="H37" s="228"/>
      <c r="I37" s="228"/>
      <c r="J37" s="150"/>
      <c r="K37" s="201"/>
      <c r="L37" s="145"/>
      <c r="M37" s="237" t="s">
        <v>117</v>
      </c>
      <c r="N37" s="238"/>
      <c r="O37" s="205">
        <f ca="1">'Price Calculations'!X61</f>
        <v>9.99</v>
      </c>
      <c r="P37" s="204"/>
    </row>
    <row r="38" spans="2:16" ht="13.5" thickBot="1" x14ac:dyDescent="0.25">
      <c r="B38" s="227"/>
      <c r="C38" s="228"/>
      <c r="D38" s="228"/>
      <c r="E38" s="228"/>
      <c r="F38" s="228"/>
      <c r="G38" s="228"/>
      <c r="H38" s="228"/>
      <c r="I38" s="228"/>
      <c r="J38" s="150"/>
      <c r="K38" s="201"/>
      <c r="L38" s="145"/>
      <c r="M38" s="233" t="str">
        <f>IF('Price Calculations'!X59&gt;0,"Extras","")</f>
        <v/>
      </c>
      <c r="N38" s="234"/>
      <c r="O38" s="205">
        <f>'Price Calculations'!X59</f>
        <v>0</v>
      </c>
      <c r="P38" s="204"/>
    </row>
    <row r="39" spans="2:16" x14ac:dyDescent="0.2">
      <c r="B39" s="227"/>
      <c r="C39" s="228"/>
      <c r="D39" s="228"/>
      <c r="E39" s="228"/>
      <c r="F39" s="228"/>
      <c r="G39" s="228"/>
      <c r="H39" s="228"/>
      <c r="I39" s="228"/>
      <c r="J39" s="150"/>
      <c r="K39" s="201"/>
      <c r="L39" s="145"/>
      <c r="M39" s="221" t="s">
        <v>62</v>
      </c>
      <c r="N39" s="222"/>
      <c r="O39" s="202">
        <f ca="1">IF(OR(O24="POA",O25="POA",O26="POA",O27="POA",O28="POA",O29="POA",O30="POA",O31="POA",O32="POA",O33="POA",O35="POA"),"POA",'Price Calculations'!X66+O35+O38)</f>
        <v>81.08</v>
      </c>
      <c r="P39" s="216"/>
    </row>
    <row r="40" spans="2:16" x14ac:dyDescent="0.2">
      <c r="B40" s="227"/>
      <c r="C40" s="228"/>
      <c r="D40" s="228"/>
      <c r="E40" s="228"/>
      <c r="F40" s="228"/>
      <c r="G40" s="228"/>
      <c r="H40" s="228"/>
      <c r="I40" s="228"/>
      <c r="J40" s="150"/>
      <c r="K40" s="201"/>
      <c r="L40" s="145"/>
      <c r="M40" s="221" t="s">
        <v>346</v>
      </c>
      <c r="N40" s="222"/>
      <c r="O40" s="205">
        <f ca="1">IF(O35="POA","POA",ROUND(O39*VAT_Rate,2))</f>
        <v>0</v>
      </c>
      <c r="P40" s="204"/>
    </row>
    <row r="41" spans="2:16" ht="13.5" thickBot="1" x14ac:dyDescent="0.25">
      <c r="B41" s="229"/>
      <c r="C41" s="230"/>
      <c r="D41" s="230"/>
      <c r="E41" s="230"/>
      <c r="F41" s="230"/>
      <c r="G41" s="230"/>
      <c r="H41" s="230"/>
      <c r="I41" s="230"/>
      <c r="J41" s="151"/>
      <c r="K41" s="201"/>
      <c r="L41" s="51"/>
      <c r="M41" s="219" t="s">
        <v>63</v>
      </c>
      <c r="N41" s="220"/>
      <c r="O41" s="203">
        <f ca="1">IF(ISNA(O35),"Incomplete details",IF(O35="POA","POA",SUM(O39:P40)))</f>
        <v>81.08</v>
      </c>
      <c r="P41" s="204"/>
    </row>
    <row r="42" spans="2:16" x14ac:dyDescent="0.2">
      <c r="C42" s="67"/>
      <c r="M42" s="28" t="s">
        <v>101</v>
      </c>
      <c r="N42" s="170" t="s">
        <v>335</v>
      </c>
      <c r="O42" s="62">
        <v>43468</v>
      </c>
    </row>
    <row r="43" spans="2:16" x14ac:dyDescent="0.2">
      <c r="C43" s="67"/>
    </row>
    <row r="44" spans="2:16" x14ac:dyDescent="0.2">
      <c r="L44" s="63"/>
    </row>
    <row r="45" spans="2:16" x14ac:dyDescent="0.2">
      <c r="L45" s="63"/>
    </row>
  </sheetData>
  <sheetProtection algorithmName="SHA-512" hashValue="N2/5lK593qzzhVCDWBNTWpoMb9fzbXFqCIOr6ISVLqWLtlu0eRtNyObXpdB7PtYAWmgDTMOThvcRZLYusKGOfg==" saltValue="ewJ8GUUXoMLL0ZpSKUENuQ==" spinCount="100000" sheet="1" objects="1" scenarios="1"/>
  <mergeCells count="22">
    <mergeCell ref="A6:C6"/>
    <mergeCell ref="J2:K2"/>
    <mergeCell ref="J4:K4"/>
    <mergeCell ref="D1:N1"/>
    <mergeCell ref="J6:K6"/>
    <mergeCell ref="N2:O2"/>
    <mergeCell ref="N4:O4"/>
    <mergeCell ref="E6:G6"/>
    <mergeCell ref="E4:G4"/>
    <mergeCell ref="E2:G2"/>
    <mergeCell ref="K5:N5"/>
    <mergeCell ref="M41:N41"/>
    <mergeCell ref="M39:N39"/>
    <mergeCell ref="B35:G35"/>
    <mergeCell ref="B36:G41"/>
    <mergeCell ref="H36:I41"/>
    <mergeCell ref="H35:I35"/>
    <mergeCell ref="M40:N40"/>
    <mergeCell ref="M35:N35"/>
    <mergeCell ref="M38:N38"/>
    <mergeCell ref="M36:N36"/>
    <mergeCell ref="M37:N37"/>
  </mergeCells>
  <phoneticPr fontId="0" type="noConversion"/>
  <conditionalFormatting sqref="D23:M33">
    <cfRule type="expression" dxfId="14" priority="11" stopIfTrue="1">
      <formula>AND($C9&lt;&gt;"",D23="")</formula>
    </cfRule>
  </conditionalFormatting>
  <conditionalFormatting sqref="D9:O19">
    <cfRule type="expression" dxfId="13" priority="22" stopIfTrue="1">
      <formula>AND($C9&lt;&gt;"",D9="")</formula>
    </cfRule>
  </conditionalFormatting>
  <conditionalFormatting sqref="C9:C19">
    <cfRule type="expression" dxfId="12" priority="24" stopIfTrue="1">
      <formula>AND(C9="",$E$6&lt;&gt;"",D9&lt;&gt;"")</formula>
    </cfRule>
  </conditionalFormatting>
  <conditionalFormatting sqref="J4:K4 J2:K2 E4 E2 J6:K6">
    <cfRule type="expression" dxfId="11" priority="15" stopIfTrue="1">
      <formula>AND(COUNTA($G$1,$M$1)&gt;0,COUNTA(E2)=0)</formula>
    </cfRule>
  </conditionalFormatting>
  <conditionalFormatting sqref="O39">
    <cfRule type="expression" dxfId="10" priority="16" stopIfTrue="1">
      <formula>(O39&lt;(55*(1-Discount)))</formula>
    </cfRule>
  </conditionalFormatting>
  <conditionalFormatting sqref="E6:G6">
    <cfRule type="cellIs" dxfId="9" priority="19" stopIfTrue="1" operator="lessThan">
      <formula>"a"</formula>
    </cfRule>
  </conditionalFormatting>
  <conditionalFormatting sqref="G20">
    <cfRule type="expression" dxfId="8" priority="29" stopIfTrue="1">
      <formula>AND(G20&lt;1,COUNTIF($F$9:$F$19,"Listed colour swatch (Paint)")+COUNTIF($F$9:$F$19,"Listed colour swatch (Stain)")&gt;0)</formula>
    </cfRule>
  </conditionalFormatting>
  <conditionalFormatting sqref="J36:K36">
    <cfRule type="expression" dxfId="7" priority="30" stopIfTrue="1">
      <formula>AND(RIGHT(DeliveryChoice,1)="s",J36="")</formula>
    </cfRule>
  </conditionalFormatting>
  <conditionalFormatting sqref="I20">
    <cfRule type="expression" dxfId="6" priority="6" stopIfTrue="1">
      <formula>AND(I20&lt;1,COUNTIF($F$9:$F$19,"Other swatch (Paint)")+COUNTIF($F$9:$F$19,"Other swatch (Stain)")&gt;0)</formula>
    </cfRule>
  </conditionalFormatting>
  <conditionalFormatting sqref="H36:I41">
    <cfRule type="expression" dxfId="5" priority="4">
      <formula>DeliverAddress="Alternative"</formula>
    </cfRule>
  </conditionalFormatting>
  <conditionalFormatting sqref="C23:C33">
    <cfRule type="expression" dxfId="4" priority="2" stopIfTrue="1">
      <formula>AND($C9&lt;&gt;"",C23="")</formula>
    </cfRule>
  </conditionalFormatting>
  <dataValidations count="22">
    <dataValidation type="list" allowBlank="1" showInputMessage="1" showErrorMessage="1" sqref="D23:D33" xr:uid="{00000000-0002-0000-0000-000000000000}">
      <formula1>ValanceReturns</formula1>
    </dataValidation>
    <dataValidation type="list" allowBlank="1" showInputMessage="1" showErrorMessage="1" sqref="M9:M19" xr:uid="{00000000-0002-0000-0000-000001000000}">
      <formula1>IF(RIGHT(F9,1)=")",CustLadderColour,LadderColour)</formula1>
    </dataValidation>
    <dataValidation type="list" allowBlank="1" showInputMessage="1" showErrorMessage="1" sqref="K9:K19" xr:uid="{00000000-0002-0000-0000-000002000000}">
      <formula1>IF(O9="Yes",DefaultLC,LadderChoice)</formula1>
    </dataValidation>
    <dataValidation type="list" allowBlank="1" showInputMessage="1" showErrorMessage="1" sqref="I23:I33" xr:uid="{00000000-0002-0000-0000-000003000000}">
      <formula1>INDIRECT(Prefix &amp; "ToggleDesign")</formula1>
    </dataValidation>
    <dataValidation type="list" allowBlank="1" showInputMessage="1" showErrorMessage="1" sqref="J23:J33" xr:uid="{00000000-0002-0000-0000-000004000000}">
      <formula1>INDIRECT(Prefix &amp; "cutouts")</formula1>
    </dataValidation>
    <dataValidation type="list" allowBlank="1" showInputMessage="1" showErrorMessage="1" sqref="K23:K33" xr:uid="{00000000-0002-0000-0000-000005000000}">
      <formula1>INDIRECT(Prefix &amp; "multipleblinds")</formula1>
    </dataValidation>
    <dataValidation type="list" allowBlank="1" showInputMessage="1" showErrorMessage="1" sqref="G23:G33" xr:uid="{00000000-0002-0000-0000-000006000000}">
      <formula1>INDIRECT(Prefix &amp; "valanceDesign")</formula1>
    </dataValidation>
    <dataValidation type="list" allowBlank="1" showInputMessage="1" showErrorMessage="1" errorTitle="Slat Size" error="You may only choose from the list" sqref="E9:E19" xr:uid="{00000000-0002-0000-0000-000007000000}">
      <formula1>SlatSize</formula1>
    </dataValidation>
    <dataValidation allowBlank="1" sqref="P4 D2:E2 D4:E4 N2:N3 M2 L3:M3 I2:K2 I4:J4 O3:Q3" xr:uid="{00000000-0002-0000-0000-000008000000}"/>
    <dataValidation type="list" allowBlank="1" showInputMessage="1" showErrorMessage="1" sqref="E6" xr:uid="{00000000-0002-0000-0000-000009000000}">
      <formula1>Materials</formula1>
    </dataValidation>
    <dataValidation type="list" allowBlank="1" showInputMessage="1" showErrorMessage="1" sqref="G9:G19" xr:uid="{00000000-0002-0000-0000-00000A000000}">
      <formula1>SizeType</formula1>
    </dataValidation>
    <dataValidation type="list" allowBlank="1" showInputMessage="1" showErrorMessage="1" sqref="L9:L19" xr:uid="{00000000-0002-0000-0000-00000B000000}">
      <formula1>IF(RIGHT(F9,1)=")",CustHeadRailFinish,HeadrailFinish)</formula1>
    </dataValidation>
    <dataValidation type="list" allowBlank="1" showInputMessage="1" showErrorMessage="1" sqref="E23:E33" xr:uid="{00000000-0002-0000-0000-00000C000000}">
      <formula1>TiltCord</formula1>
    </dataValidation>
    <dataValidation type="list" allowBlank="1" showInputMessage="1" showErrorMessage="1" sqref="F23:F33" xr:uid="{00000000-0002-0000-0000-00000D000000}">
      <formula1>LiftCord</formula1>
    </dataValidation>
    <dataValidation type="list" allowBlank="1" showInputMessage="1" showErrorMessage="1" sqref="F9:F19" xr:uid="{00000000-0002-0000-0000-00000E000000}">
      <formula1>Colour</formula1>
    </dataValidation>
    <dataValidation type="list" allowBlank="1" showInputMessage="1" showErrorMessage="1" sqref="J6:K6" xr:uid="{00000000-0002-0000-0000-00000F000000}">
      <formula1>INDIRECT(Prefix &amp; "DeliveryMethod")</formula1>
    </dataValidation>
    <dataValidation type="list" allowBlank="1" showInputMessage="1" sqref="H23:H33" xr:uid="{00000000-0002-0000-0000-000010000000}">
      <formula1>"Standard,Type in Length"</formula1>
    </dataValidation>
    <dataValidation type="list" allowBlank="1" showInputMessage="1" showErrorMessage="1" sqref="N9:N19" xr:uid="{00000000-0002-0000-0000-000011000000}">
      <formula1>IF(OR(K9="DT",WoodType="Vogue"),DTapeDesign,NotReq)</formula1>
    </dataValidation>
    <dataValidation type="list" allowBlank="1" showInputMessage="1" showErrorMessage="1" sqref="O9:O19" xr:uid="{00000000-0002-0000-0000-000012000000}">
      <formula1>IF(K9="LC",NotReq,IF(OR(N9="T108",N9="T112",N9="T115",N9="T116",N9="T117",N9="T118"),INDIRECT(Prefix &amp; "T002"),INDIRECT(Prefix &amp; "ClothTapeColours")))</formula1>
    </dataValidation>
    <dataValidation type="list" allowBlank="1" showInputMessage="1" showErrorMessage="1" sqref="C23:C33" xr:uid="{00000000-0002-0000-0000-000013000000}">
      <formula1>IF(OR(LEFT(F9,1)="L",LEFT(F9,1)="O"),b_CustomConsolidColours,b_ConsolidColours)</formula1>
    </dataValidation>
    <dataValidation type="list" allowBlank="1" showInputMessage="1" showErrorMessage="1" sqref="M23:M33" xr:uid="{00000000-0002-0000-0000-000014000000}">
      <formula1>Brackets</formula1>
    </dataValidation>
    <dataValidation type="list" allowBlank="1" showInputMessage="1" sqref="L23:L33" xr:uid="{00000000-0002-0000-0000-000015000000}">
      <formula1>"Standard,Type in Height"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P40 P41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27" r:id="rId4" name="Group Box 231">
              <controlPr defaultSize="0" autoFill="0" autoPict="0">
                <anchor moveWithCells="1">
                  <from>
                    <xdr:col>13</xdr:col>
                    <xdr:colOff>0</xdr:colOff>
                    <xdr:row>5</xdr:row>
                    <xdr:rowOff>0</xdr:rowOff>
                  </from>
                  <to>
                    <xdr:col>15</xdr:col>
                    <xdr:colOff>9525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5" name="Option Button 23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13</xdr:col>
                    <xdr:colOff>657225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6" name="Option Button 234">
              <controlPr locked="0" defaultSize="0" autoFill="0" autoLine="0" autoPict="0">
                <anchor moveWithCells="1">
                  <from>
                    <xdr:col>13</xdr:col>
                    <xdr:colOff>733425</xdr:colOff>
                    <xdr:row>5</xdr:row>
                    <xdr:rowOff>19050</xdr:rowOff>
                  </from>
                  <to>
                    <xdr:col>14</xdr:col>
                    <xdr:colOff>600075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pageSetUpPr fitToPage="1"/>
  </sheetPr>
  <dimension ref="A1:T43"/>
  <sheetViews>
    <sheetView showZeros="0" workbookViewId="0"/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5" width="7.140625" customWidth="1"/>
    <col min="6" max="6" width="8.85546875" customWidth="1"/>
    <col min="7" max="7" width="10" bestFit="1" customWidth="1"/>
    <col min="8" max="8" width="10.42578125" customWidth="1"/>
    <col min="9" max="9" width="8.7109375" customWidth="1"/>
    <col min="10" max="10" width="10.7109375" customWidth="1"/>
    <col min="11" max="12" width="9.7109375" customWidth="1"/>
    <col min="13" max="13" width="10.140625" bestFit="1" customWidth="1"/>
    <col min="15" max="15" width="12.7109375" customWidth="1"/>
    <col min="16" max="16" width="1" customWidth="1"/>
  </cols>
  <sheetData>
    <row r="1" spans="1:20" ht="29.25" customHeight="1" thickBot="1" x14ac:dyDescent="0.25">
      <c r="A1" s="15">
        <f>'Price Calculations'!H19</f>
        <v>1.0835999999999999</v>
      </c>
      <c r="B1" s="17" t="str">
        <f>'Price Calculations'!D1</f>
        <v>Trade</v>
      </c>
      <c r="C1" s="53"/>
      <c r="D1" s="244" t="str">
        <f ca="1">IF(TODAY()&lt;40589,"This Form is Not Valid until 15th Feb","The PureWood Order Form")</f>
        <v>The PureWood Order Form</v>
      </c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64">
        <v>0.32500000000000001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52" t="str">
        <f>Dealer_Name</f>
        <v>CP Interiors</v>
      </c>
      <c r="F2" s="253"/>
      <c r="G2" s="254"/>
      <c r="H2" s="31"/>
      <c r="I2" s="32" t="s">
        <v>103</v>
      </c>
      <c r="J2" s="240" t="str">
        <f>Dealer_Order_No</f>
        <v>SO8400</v>
      </c>
      <c r="K2" s="241"/>
      <c r="L2" s="31"/>
      <c r="M2" s="32" t="s">
        <v>104</v>
      </c>
      <c r="N2" s="245">
        <f>SC_Order_No</f>
        <v>0</v>
      </c>
      <c r="O2" s="246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45" t="str">
        <f>SC_ACno</f>
        <v>CPSUN</v>
      </c>
      <c r="F4" s="251"/>
      <c r="G4" s="246"/>
      <c r="H4" s="29"/>
      <c r="I4" s="38" t="s">
        <v>105</v>
      </c>
      <c r="J4" s="242" t="str">
        <f>Customer_Name</f>
        <v>Strachan</v>
      </c>
      <c r="K4" s="243"/>
      <c r="L4" s="34"/>
      <c r="M4" s="32" t="s">
        <v>106</v>
      </c>
      <c r="N4" s="247">
        <f>Order_Date</f>
        <v>0</v>
      </c>
      <c r="O4" s="246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55"/>
      <c r="L5" s="255"/>
      <c r="M5" s="255"/>
      <c r="N5" s="255"/>
      <c r="O5" s="41"/>
      <c r="P5" s="5"/>
    </row>
    <row r="6" spans="1:20" ht="15.75" customHeight="1" thickBot="1" x14ac:dyDescent="0.25">
      <c r="A6" s="239" t="s">
        <v>119</v>
      </c>
      <c r="B6" s="239"/>
      <c r="C6" s="239"/>
      <c r="D6" s="42" t="s">
        <v>97</v>
      </c>
      <c r="E6" s="248" t="str">
        <f>WoodType</f>
        <v>PureWood Blinds</v>
      </c>
      <c r="F6" s="249"/>
      <c r="G6" s="250"/>
      <c r="H6" s="43"/>
      <c r="I6" s="42" t="s">
        <v>61</v>
      </c>
      <c r="J6" s="242" t="str">
        <f>DeliveryChoice</f>
        <v>Standard (air)</v>
      </c>
      <c r="K6" s="243"/>
      <c r="L6" s="54"/>
      <c r="M6" s="32" t="s">
        <v>182</v>
      </c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tr">
        <f>'Order Form'!C8</f>
        <v>Room</v>
      </c>
      <c r="D8" s="45" t="str">
        <f>'Order Form'!D8</f>
        <v>Qty</v>
      </c>
      <c r="E8" s="45" t="str">
        <f>'Order Form'!E8</f>
        <v>Slat Size</v>
      </c>
      <c r="F8" s="45" t="str">
        <f>'Order Form'!F8</f>
        <v>Colour</v>
      </c>
      <c r="G8" s="45" t="str">
        <f>'Order Form'!G8</f>
        <v>Mount Type</v>
      </c>
      <c r="H8" s="45" t="str">
        <f>'Order Form'!H8</f>
        <v>Width (mm)</v>
      </c>
      <c r="I8" s="45" t="str">
        <f>'Order Form'!I8</f>
        <v>Height (mm)</v>
      </c>
      <c r="J8" s="45" t="str">
        <f>'Order Form'!J8</f>
        <v>Sq M</v>
      </c>
      <c r="K8" s="45" t="str">
        <f>'Order Form'!L8</f>
        <v>Headrail Colour</v>
      </c>
      <c r="L8" s="45" t="str">
        <f>'Order Form'!O8</f>
        <v>Tape Colour</v>
      </c>
      <c r="M8" s="45" t="str">
        <f>'Order Form'!K8</f>
        <v>Ladder Options</v>
      </c>
      <c r="N8" s="45" t="str">
        <f>'Order Form'!M8</f>
        <v>Ladder Colour</v>
      </c>
      <c r="O8" s="46" t="str">
        <f>'Order Form'!N8</f>
        <v>Decorative Tape Design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16" t="str">
        <f>'Order Form'!C9</f>
        <v>Kitchen</v>
      </c>
      <c r="D9" s="12">
        <f>'Order Form'!D9</f>
        <v>1</v>
      </c>
      <c r="E9" s="12" t="str">
        <f>'Order Form'!E9</f>
        <v>50.8mm</v>
      </c>
      <c r="F9" s="12" t="str">
        <f>'Order Form'!F9</f>
        <v>001 Pure White</v>
      </c>
      <c r="G9" s="12" t="str">
        <f>'Order Form'!G9</f>
        <v>IM</v>
      </c>
      <c r="H9" s="12">
        <f>'Order Form'!H9</f>
        <v>840</v>
      </c>
      <c r="I9" s="12">
        <f>'Order Form'!I9</f>
        <v>1290</v>
      </c>
      <c r="J9" s="55">
        <f>'Order Form'!J9</f>
        <v>1.0835999999999999</v>
      </c>
      <c r="K9" s="12" t="str">
        <f>'Order Form'!L9</f>
        <v>Default</v>
      </c>
      <c r="L9" s="12" t="str">
        <f>'Order Form'!O9</f>
        <v>Not Required</v>
      </c>
      <c r="M9" s="12" t="str">
        <f>'Order Form'!K9</f>
        <v>LC</v>
      </c>
      <c r="N9" s="12" t="str">
        <f>'Order Form'!M9</f>
        <v>Default</v>
      </c>
      <c r="O9" s="120" t="str">
        <f>'Order Form'!N9</f>
        <v>Not Required</v>
      </c>
    </row>
    <row r="10" spans="1:20" ht="15" customHeight="1" x14ac:dyDescent="0.2">
      <c r="B10" s="9" t="s">
        <v>3</v>
      </c>
      <c r="C10" s="117">
        <f>'Order Form'!C10</f>
        <v>0</v>
      </c>
      <c r="D10" s="13">
        <f>'Order Form'!D10</f>
        <v>0</v>
      </c>
      <c r="E10" s="13">
        <f>'Order Form'!E10</f>
        <v>0</v>
      </c>
      <c r="F10" s="13">
        <f>'Order Form'!F10</f>
        <v>0</v>
      </c>
      <c r="G10" s="13">
        <f>'Order Form'!G10</f>
        <v>0</v>
      </c>
      <c r="H10" s="13">
        <f>'Order Form'!H10</f>
        <v>0</v>
      </c>
      <c r="I10" s="13">
        <f>'Order Form'!I10</f>
        <v>0</v>
      </c>
      <c r="J10" s="56">
        <f>'Order Form'!J10</f>
        <v>0</v>
      </c>
      <c r="K10" s="13">
        <f>'Order Form'!L10</f>
        <v>0</v>
      </c>
      <c r="L10" s="13">
        <f>'Order Form'!O10</f>
        <v>0</v>
      </c>
      <c r="M10" s="13">
        <f>'Order Form'!K10</f>
        <v>0</v>
      </c>
      <c r="N10" s="13">
        <f>'Order Form'!M10</f>
        <v>0</v>
      </c>
      <c r="O10" s="121">
        <f>'Order Form'!N10</f>
        <v>0</v>
      </c>
    </row>
    <row r="11" spans="1:20" ht="15" customHeight="1" x14ac:dyDescent="0.2">
      <c r="B11" s="10" t="s">
        <v>4</v>
      </c>
      <c r="C11" s="118">
        <f>'Order Form'!C11</f>
        <v>0</v>
      </c>
      <c r="D11" s="14">
        <f>'Order Form'!D11</f>
        <v>0</v>
      </c>
      <c r="E11" s="14">
        <f>'Order Form'!E11</f>
        <v>0</v>
      </c>
      <c r="F11" s="14">
        <f>'Order Form'!F11</f>
        <v>0</v>
      </c>
      <c r="G11" s="14">
        <f>'Order Form'!G11</f>
        <v>0</v>
      </c>
      <c r="H11" s="14">
        <f>'Order Form'!H11</f>
        <v>0</v>
      </c>
      <c r="I11" s="14">
        <f>'Order Form'!I11</f>
        <v>0</v>
      </c>
      <c r="J11" s="57">
        <f>'Order Form'!J11</f>
        <v>0</v>
      </c>
      <c r="K11" s="14">
        <f>'Order Form'!L11</f>
        <v>0</v>
      </c>
      <c r="L11" s="14">
        <f>'Order Form'!O11</f>
        <v>0</v>
      </c>
      <c r="M11" s="14">
        <f>'Order Form'!K11</f>
        <v>0</v>
      </c>
      <c r="N11" s="14">
        <f>'Order Form'!M11</f>
        <v>0</v>
      </c>
      <c r="O11" s="122">
        <f>'Order Form'!N11</f>
        <v>0</v>
      </c>
    </row>
    <row r="12" spans="1:20" s="6" customFormat="1" ht="15" customHeight="1" x14ac:dyDescent="0.2">
      <c r="A12"/>
      <c r="B12" s="9" t="s">
        <v>5</v>
      </c>
      <c r="C12" s="117">
        <f>'Order Form'!C12</f>
        <v>0</v>
      </c>
      <c r="D12" s="13">
        <f>'Order Form'!D12</f>
        <v>0</v>
      </c>
      <c r="E12" s="13">
        <f>'Order Form'!E12</f>
        <v>0</v>
      </c>
      <c r="F12" s="13">
        <f>'Order Form'!F12</f>
        <v>0</v>
      </c>
      <c r="G12" s="13">
        <f>'Order Form'!G12</f>
        <v>0</v>
      </c>
      <c r="H12" s="13">
        <f>'Order Form'!H12</f>
        <v>0</v>
      </c>
      <c r="I12" s="13">
        <f>'Order Form'!I12</f>
        <v>0</v>
      </c>
      <c r="J12" s="56">
        <f>'Order Form'!J12</f>
        <v>0</v>
      </c>
      <c r="K12" s="13">
        <f>'Order Form'!L12</f>
        <v>0</v>
      </c>
      <c r="L12" s="13">
        <f>'Order Form'!O12</f>
        <v>0</v>
      </c>
      <c r="M12" s="13">
        <f>'Order Form'!K12</f>
        <v>0</v>
      </c>
      <c r="N12" s="13">
        <f>'Order Form'!M12</f>
        <v>0</v>
      </c>
      <c r="O12" s="121">
        <f>'Order Form'!N12</f>
        <v>0</v>
      </c>
      <c r="P12"/>
      <c r="Q12"/>
      <c r="R12"/>
      <c r="S12"/>
      <c r="T12"/>
    </row>
    <row r="13" spans="1:20" ht="15" customHeight="1" x14ac:dyDescent="0.2">
      <c r="B13" s="8" t="s">
        <v>6</v>
      </c>
      <c r="C13" s="119">
        <f>'Order Form'!C13</f>
        <v>0</v>
      </c>
      <c r="D13" s="12">
        <f>'Order Form'!D13</f>
        <v>0</v>
      </c>
      <c r="E13" s="12">
        <f>'Order Form'!E13</f>
        <v>0</v>
      </c>
      <c r="F13" s="12">
        <f>'Order Form'!F13</f>
        <v>0</v>
      </c>
      <c r="G13" s="12">
        <f>'Order Form'!G13</f>
        <v>0</v>
      </c>
      <c r="H13" s="12">
        <f>'Order Form'!H13</f>
        <v>0</v>
      </c>
      <c r="I13" s="12">
        <f>'Order Form'!I13</f>
        <v>0</v>
      </c>
      <c r="J13" s="55">
        <f>'Order Form'!J13</f>
        <v>0</v>
      </c>
      <c r="K13" s="12">
        <f>'Order Form'!L13</f>
        <v>0</v>
      </c>
      <c r="L13" s="12">
        <f>'Order Form'!O13</f>
        <v>0</v>
      </c>
      <c r="M13" s="12">
        <f>'Order Form'!K13</f>
        <v>0</v>
      </c>
      <c r="N13" s="12">
        <f>'Order Form'!M13</f>
        <v>0</v>
      </c>
      <c r="O13" s="120">
        <f>'Order Form'!N13</f>
        <v>0</v>
      </c>
    </row>
    <row r="14" spans="1:20" s="6" customFormat="1" ht="15" customHeight="1" x14ac:dyDescent="0.2">
      <c r="A14"/>
      <c r="B14" s="49" t="s">
        <v>107</v>
      </c>
      <c r="C14" s="117">
        <f>'Order Form'!C14</f>
        <v>0</v>
      </c>
      <c r="D14" s="50">
        <f>'Order Form'!D14</f>
        <v>0</v>
      </c>
      <c r="E14" s="50">
        <f>'Order Form'!E14</f>
        <v>0</v>
      </c>
      <c r="F14" s="50">
        <f>'Order Form'!F14</f>
        <v>0</v>
      </c>
      <c r="G14" s="50">
        <f>'Order Form'!G14</f>
        <v>0</v>
      </c>
      <c r="H14" s="50">
        <f>'Order Form'!H14</f>
        <v>0</v>
      </c>
      <c r="I14" s="50">
        <f>'Order Form'!I14</f>
        <v>0</v>
      </c>
      <c r="J14" s="58">
        <f>'Order Form'!J14</f>
        <v>0</v>
      </c>
      <c r="K14" s="50">
        <f>'Order Form'!L14</f>
        <v>0</v>
      </c>
      <c r="L14" s="50">
        <f>'Order Form'!O14</f>
        <v>0</v>
      </c>
      <c r="M14" s="50">
        <f>'Order Form'!K14</f>
        <v>0</v>
      </c>
      <c r="N14" s="50">
        <f>'Order Form'!M14</f>
        <v>0</v>
      </c>
      <c r="O14" s="121">
        <f>'Order Form'!N14</f>
        <v>0</v>
      </c>
      <c r="P14"/>
      <c r="Q14"/>
      <c r="R14"/>
      <c r="S14"/>
      <c r="T14"/>
    </row>
    <row r="15" spans="1:20" ht="15" customHeight="1" x14ac:dyDescent="0.2">
      <c r="B15" s="10" t="s">
        <v>108</v>
      </c>
      <c r="C15" s="118">
        <f>'Order Form'!C15</f>
        <v>0</v>
      </c>
      <c r="D15" s="14">
        <f>'Order Form'!D15</f>
        <v>0</v>
      </c>
      <c r="E15" s="14">
        <f>'Order Form'!E15</f>
        <v>0</v>
      </c>
      <c r="F15" s="14">
        <f>'Order Form'!F15</f>
        <v>0</v>
      </c>
      <c r="G15" s="14">
        <f>'Order Form'!G15</f>
        <v>0</v>
      </c>
      <c r="H15" s="14">
        <f>'Order Form'!H15</f>
        <v>0</v>
      </c>
      <c r="I15" s="14">
        <f>'Order Form'!I15</f>
        <v>0</v>
      </c>
      <c r="J15" s="57">
        <f>'Order Form'!J15</f>
        <v>0</v>
      </c>
      <c r="K15" s="14">
        <f>'Order Form'!L15</f>
        <v>0</v>
      </c>
      <c r="L15" s="14">
        <f>'Order Form'!O15</f>
        <v>0</v>
      </c>
      <c r="M15" s="14">
        <f>'Order Form'!K15</f>
        <v>0</v>
      </c>
      <c r="N15" s="14">
        <f>'Order Form'!M15</f>
        <v>0</v>
      </c>
      <c r="O15" s="122">
        <f>'Order Form'!N15</f>
        <v>0</v>
      </c>
    </row>
    <row r="16" spans="1:20" s="6" customFormat="1" ht="15" customHeight="1" x14ac:dyDescent="0.2">
      <c r="A16"/>
      <c r="B16" s="49" t="s">
        <v>109</v>
      </c>
      <c r="C16" s="117">
        <f>'Order Form'!C16</f>
        <v>0</v>
      </c>
      <c r="D16" s="50">
        <f>'Order Form'!D16</f>
        <v>0</v>
      </c>
      <c r="E16" s="50">
        <f>'Order Form'!E16</f>
        <v>0</v>
      </c>
      <c r="F16" s="50">
        <f>'Order Form'!F16</f>
        <v>0</v>
      </c>
      <c r="G16" s="50">
        <f>'Order Form'!G16</f>
        <v>0</v>
      </c>
      <c r="H16" s="50">
        <f>'Order Form'!H16</f>
        <v>0</v>
      </c>
      <c r="I16" s="50">
        <f>'Order Form'!I16</f>
        <v>0</v>
      </c>
      <c r="J16" s="58">
        <f>'Order Form'!J16</f>
        <v>0</v>
      </c>
      <c r="K16" s="50">
        <f>'Order Form'!L16</f>
        <v>0</v>
      </c>
      <c r="L16" s="50">
        <f>'Order Form'!O16</f>
        <v>0</v>
      </c>
      <c r="M16" s="50">
        <f>'Order Form'!K16</f>
        <v>0</v>
      </c>
      <c r="N16" s="50">
        <f>'Order Form'!M16</f>
        <v>0</v>
      </c>
      <c r="O16" s="121">
        <f>'Order Form'!N16</f>
        <v>0</v>
      </c>
      <c r="P16"/>
      <c r="Q16"/>
      <c r="R16"/>
      <c r="S16"/>
      <c r="T16"/>
    </row>
    <row r="17" spans="1:20" ht="15" customHeight="1" x14ac:dyDescent="0.2">
      <c r="B17" s="8" t="s">
        <v>110</v>
      </c>
      <c r="C17" s="119">
        <f>'Order Form'!C17</f>
        <v>0</v>
      </c>
      <c r="D17" s="12">
        <f>'Order Form'!D17</f>
        <v>0</v>
      </c>
      <c r="E17" s="12">
        <f>'Order Form'!E17</f>
        <v>0</v>
      </c>
      <c r="F17" s="12">
        <f>'Order Form'!F17</f>
        <v>0</v>
      </c>
      <c r="G17" s="12">
        <f>'Order Form'!G17</f>
        <v>0</v>
      </c>
      <c r="H17" s="12">
        <f>'Order Form'!H17</f>
        <v>0</v>
      </c>
      <c r="I17" s="12">
        <f>'Order Form'!I17</f>
        <v>0</v>
      </c>
      <c r="J17" s="55">
        <f>'Order Form'!J17</f>
        <v>0</v>
      </c>
      <c r="K17" s="12">
        <f>'Order Form'!L17</f>
        <v>0</v>
      </c>
      <c r="L17" s="12">
        <f>'Order Form'!O17</f>
        <v>0</v>
      </c>
      <c r="M17" s="12">
        <f>'Order Form'!K17</f>
        <v>0</v>
      </c>
      <c r="N17" s="12">
        <f>'Order Form'!M17</f>
        <v>0</v>
      </c>
      <c r="O17" s="120">
        <f>'Order Form'!N17</f>
        <v>0</v>
      </c>
    </row>
    <row r="18" spans="1:20" s="6" customFormat="1" ht="15" customHeight="1" x14ac:dyDescent="0.2">
      <c r="A18"/>
      <c r="B18" s="49" t="s">
        <v>111</v>
      </c>
      <c r="C18" s="117">
        <f>'Order Form'!C18</f>
        <v>0</v>
      </c>
      <c r="D18" s="50">
        <f>'Order Form'!D18</f>
        <v>0</v>
      </c>
      <c r="E18" s="50">
        <f>'Order Form'!E18</f>
        <v>0</v>
      </c>
      <c r="F18" s="50">
        <f>'Order Form'!F18</f>
        <v>0</v>
      </c>
      <c r="G18" s="50">
        <f>'Order Form'!G18</f>
        <v>0</v>
      </c>
      <c r="H18" s="50">
        <f>'Order Form'!H18</f>
        <v>0</v>
      </c>
      <c r="I18" s="50">
        <f>'Order Form'!I18</f>
        <v>0</v>
      </c>
      <c r="J18" s="58">
        <f>'Order Form'!J18</f>
        <v>0</v>
      </c>
      <c r="K18" s="50">
        <f>'Order Form'!L18</f>
        <v>0</v>
      </c>
      <c r="L18" s="50">
        <f>'Order Form'!O18</f>
        <v>0</v>
      </c>
      <c r="M18" s="50">
        <f>'Order Form'!K18</f>
        <v>0</v>
      </c>
      <c r="N18" s="50">
        <f>'Order Form'!M18</f>
        <v>0</v>
      </c>
      <c r="O18" s="121">
        <f>'Order Form'!N18</f>
        <v>0</v>
      </c>
      <c r="P18"/>
      <c r="Q18"/>
      <c r="R18"/>
      <c r="S18"/>
      <c r="T18"/>
    </row>
    <row r="19" spans="1:20" ht="15" customHeight="1" thickBot="1" x14ac:dyDescent="0.25">
      <c r="B19" s="76" t="s">
        <v>112</v>
      </c>
      <c r="C19" s="124">
        <f>'Order Form'!C19</f>
        <v>0</v>
      </c>
      <c r="D19" s="77">
        <f>'Order Form'!D19</f>
        <v>0</v>
      </c>
      <c r="E19" s="77">
        <f>'Order Form'!E19</f>
        <v>0</v>
      </c>
      <c r="F19" s="77">
        <f>'Order Form'!F19</f>
        <v>0</v>
      </c>
      <c r="G19" s="77">
        <f>'Order Form'!G19</f>
        <v>0</v>
      </c>
      <c r="H19" s="77">
        <f>'Order Form'!H19</f>
        <v>0</v>
      </c>
      <c r="I19" s="77">
        <f>'Order Form'!I19</f>
        <v>0</v>
      </c>
      <c r="J19" s="59">
        <f>'Order Form'!J19</f>
        <v>0</v>
      </c>
      <c r="K19" s="77">
        <f>'Order Form'!L19</f>
        <v>0</v>
      </c>
      <c r="L19" s="77">
        <f>'Order Form'!O19</f>
        <v>0</v>
      </c>
      <c r="M19" s="77">
        <f>'Order Form'!K19</f>
        <v>0</v>
      </c>
      <c r="N19" s="77">
        <f>'Order Form'!M19</f>
        <v>0</v>
      </c>
      <c r="O19" s="123">
        <f>'Order Form'!N19</f>
        <v>0</v>
      </c>
    </row>
    <row r="20" spans="1:20" s="61" customFormat="1" ht="15" customHeight="1" thickBot="1" x14ac:dyDescent="0.25">
      <c r="C20" s="79" t="s">
        <v>141</v>
      </c>
      <c r="D20" s="80"/>
      <c r="E20" s="80"/>
      <c r="F20" s="81" t="s">
        <v>140</v>
      </c>
      <c r="G20" s="84">
        <f>'Order Form'!G20</f>
        <v>0</v>
      </c>
      <c r="H20" s="82">
        <f>'Order Form'!H20</f>
        <v>0</v>
      </c>
      <c r="I20" s="84">
        <f>'Order Form'!I20</f>
        <v>0</v>
      </c>
      <c r="J20" s="83">
        <f>'Order Form'!J20</f>
        <v>1.0835999999999999</v>
      </c>
      <c r="K20" s="82" t="s">
        <v>136</v>
      </c>
    </row>
    <row r="21" spans="1:20" ht="5.25" customHeight="1" thickBot="1" x14ac:dyDescent="0.25"/>
    <row r="22" spans="1:20" ht="23.25" customHeight="1" x14ac:dyDescent="0.2">
      <c r="A22" s="6"/>
      <c r="B22" s="44" t="s">
        <v>17</v>
      </c>
      <c r="C22" s="45" t="str">
        <f>'Order Form'!C22</f>
        <v>Consolidator Colour</v>
      </c>
      <c r="D22" s="45" t="str">
        <f>'Order Form'!D22</f>
        <v>Valance Returns</v>
      </c>
      <c r="E22" s="45" t="str">
        <f>'Order Form'!E22</f>
        <v>Tilt Cord</v>
      </c>
      <c r="F22" s="45" t="str">
        <f>'Order Form'!F22</f>
        <v>Lift Cords</v>
      </c>
      <c r="G22" s="156" t="s">
        <v>29</v>
      </c>
      <c r="H22" s="155" t="s">
        <v>235</v>
      </c>
      <c r="I22" s="68" t="s">
        <v>28</v>
      </c>
      <c r="J22" s="45" t="s">
        <v>236</v>
      </c>
      <c r="K22" s="125" t="s">
        <v>237</v>
      </c>
      <c r="M22" s="6"/>
      <c r="N22" s="6"/>
      <c r="O22" s="6"/>
      <c r="P22" s="6"/>
      <c r="Q22" s="6"/>
    </row>
    <row r="23" spans="1:20" ht="15" customHeight="1" x14ac:dyDescent="0.2">
      <c r="B23" s="8" t="s">
        <v>2</v>
      </c>
      <c r="C23" s="12" t="str">
        <f>'Order Form'!C23</f>
        <v>Default</v>
      </c>
      <c r="D23" s="12" t="str">
        <f>'Order Form'!D23</f>
        <v>None</v>
      </c>
      <c r="E23" s="12" t="str">
        <f>'Order Form'!E23</f>
        <v>Left</v>
      </c>
      <c r="F23" s="12" t="str">
        <f>'Order Form'!F23</f>
        <v>Right</v>
      </c>
      <c r="G23" s="163" t="str">
        <f>'Order Form'!G23</f>
        <v>63.5mm Ramp</v>
      </c>
      <c r="H23" s="163">
        <f>'Order Form'!H23</f>
        <v>40</v>
      </c>
      <c r="I23" s="69" t="str">
        <f>'Order Form'!I23</f>
        <v>Pear</v>
      </c>
      <c r="J23" s="12" t="str">
        <f>'Order Form'!J23</f>
        <v>No</v>
      </c>
      <c r="K23" s="120">
        <f>'Order Form'!K23</f>
        <v>1</v>
      </c>
    </row>
    <row r="24" spans="1:20" ht="15" customHeight="1" x14ac:dyDescent="0.2">
      <c r="B24" s="9" t="s">
        <v>3</v>
      </c>
      <c r="C24" s="13">
        <f>'Order Form'!C24</f>
        <v>0</v>
      </c>
      <c r="D24" s="13">
        <f>'Order Form'!D24</f>
        <v>0</v>
      </c>
      <c r="E24" s="13">
        <f>'Order Form'!E24</f>
        <v>0</v>
      </c>
      <c r="F24" s="13">
        <f>'Order Form'!F24</f>
        <v>0</v>
      </c>
      <c r="G24" s="164">
        <f>'Order Form'!G24</f>
        <v>0</v>
      </c>
      <c r="H24" s="164">
        <f>'Order Form'!H24</f>
        <v>0</v>
      </c>
      <c r="I24" s="70">
        <f>'Order Form'!I24</f>
        <v>0</v>
      </c>
      <c r="J24" s="13">
        <f>'Order Form'!J24</f>
        <v>0</v>
      </c>
      <c r="K24" s="121">
        <f>'Order Form'!K24</f>
        <v>0</v>
      </c>
    </row>
    <row r="25" spans="1:20" ht="15" customHeight="1" x14ac:dyDescent="0.2">
      <c r="B25" s="10" t="s">
        <v>4</v>
      </c>
      <c r="C25" s="14">
        <f>'Order Form'!C25</f>
        <v>0</v>
      </c>
      <c r="D25" s="14">
        <f>'Order Form'!D25</f>
        <v>0</v>
      </c>
      <c r="E25" s="14">
        <f>'Order Form'!E25</f>
        <v>0</v>
      </c>
      <c r="F25" s="14">
        <f>'Order Form'!F25</f>
        <v>0</v>
      </c>
      <c r="G25" s="165">
        <f>'Order Form'!G25</f>
        <v>0</v>
      </c>
      <c r="H25" s="165">
        <f>'Order Form'!H25</f>
        <v>0</v>
      </c>
      <c r="I25" s="71">
        <f>'Order Form'!I25</f>
        <v>0</v>
      </c>
      <c r="J25" s="14">
        <f>'Order Form'!J25</f>
        <v>0</v>
      </c>
      <c r="K25" s="122">
        <f>'Order Form'!K25</f>
        <v>0</v>
      </c>
    </row>
    <row r="26" spans="1:20" ht="15" customHeight="1" x14ac:dyDescent="0.2">
      <c r="B26" s="9" t="s">
        <v>5</v>
      </c>
      <c r="C26" s="13">
        <f>'Order Form'!C26</f>
        <v>0</v>
      </c>
      <c r="D26" s="13">
        <f>'Order Form'!D26</f>
        <v>0</v>
      </c>
      <c r="E26" s="13">
        <f>'Order Form'!E26</f>
        <v>0</v>
      </c>
      <c r="F26" s="13">
        <f>'Order Form'!F26</f>
        <v>0</v>
      </c>
      <c r="G26" s="164">
        <f>'Order Form'!G26</f>
        <v>0</v>
      </c>
      <c r="H26" s="164">
        <f>'Order Form'!H26</f>
        <v>0</v>
      </c>
      <c r="I26" s="70">
        <f>'Order Form'!I26</f>
        <v>0</v>
      </c>
      <c r="J26" s="13">
        <f>'Order Form'!J26</f>
        <v>0</v>
      </c>
      <c r="K26" s="121">
        <f>'Order Form'!K26</f>
        <v>0</v>
      </c>
    </row>
    <row r="27" spans="1:20" ht="15" customHeight="1" x14ac:dyDescent="0.2">
      <c r="B27" s="8" t="s">
        <v>6</v>
      </c>
      <c r="C27" s="12">
        <f>'Order Form'!C27</f>
        <v>0</v>
      </c>
      <c r="D27" s="12">
        <f>'Order Form'!D27</f>
        <v>0</v>
      </c>
      <c r="E27" s="12">
        <f>'Order Form'!E27</f>
        <v>0</v>
      </c>
      <c r="F27" s="12">
        <f>'Order Form'!F27</f>
        <v>0</v>
      </c>
      <c r="G27" s="163">
        <f>'Order Form'!G27</f>
        <v>0</v>
      </c>
      <c r="H27" s="163">
        <f>'Order Form'!H27</f>
        <v>0</v>
      </c>
      <c r="I27" s="69">
        <f>'Order Form'!I27</f>
        <v>0</v>
      </c>
      <c r="J27" s="12">
        <f>'Order Form'!J27</f>
        <v>0</v>
      </c>
      <c r="K27" s="120">
        <f>'Order Form'!K27</f>
        <v>0</v>
      </c>
    </row>
    <row r="28" spans="1:20" ht="15" customHeight="1" x14ac:dyDescent="0.2">
      <c r="B28" s="49" t="s">
        <v>107</v>
      </c>
      <c r="C28" s="50">
        <f>'Order Form'!C28</f>
        <v>0</v>
      </c>
      <c r="D28" s="50">
        <f>'Order Form'!D28</f>
        <v>0</v>
      </c>
      <c r="E28" s="50">
        <f>'Order Form'!E28</f>
        <v>0</v>
      </c>
      <c r="F28" s="50">
        <f>'Order Form'!F28</f>
        <v>0</v>
      </c>
      <c r="G28" s="164">
        <f>'Order Form'!G28</f>
        <v>0</v>
      </c>
      <c r="H28" s="164">
        <f>'Order Form'!H28</f>
        <v>0</v>
      </c>
      <c r="I28" s="70">
        <f>'Order Form'!I28</f>
        <v>0</v>
      </c>
      <c r="J28" s="50">
        <f>'Order Form'!J28</f>
        <v>0</v>
      </c>
      <c r="K28" s="121">
        <f>'Order Form'!K28</f>
        <v>0</v>
      </c>
    </row>
    <row r="29" spans="1:20" ht="15" customHeight="1" x14ac:dyDescent="0.2">
      <c r="B29" s="10" t="s">
        <v>108</v>
      </c>
      <c r="C29" s="14">
        <f>'Order Form'!C29</f>
        <v>0</v>
      </c>
      <c r="D29" s="14">
        <f>'Order Form'!D29</f>
        <v>0</v>
      </c>
      <c r="E29" s="14">
        <f>'Order Form'!E29</f>
        <v>0</v>
      </c>
      <c r="F29" s="14">
        <f>'Order Form'!F29</f>
        <v>0</v>
      </c>
      <c r="G29" s="165">
        <f>'Order Form'!G29</f>
        <v>0</v>
      </c>
      <c r="H29" s="165">
        <f>'Order Form'!H29</f>
        <v>0</v>
      </c>
      <c r="I29" s="71">
        <f>'Order Form'!I29</f>
        <v>0</v>
      </c>
      <c r="J29" s="14">
        <f>'Order Form'!J29</f>
        <v>0</v>
      </c>
      <c r="K29" s="122">
        <f>'Order Form'!K29</f>
        <v>0</v>
      </c>
    </row>
    <row r="30" spans="1:20" ht="15" customHeight="1" x14ac:dyDescent="0.2">
      <c r="B30" s="49" t="s">
        <v>109</v>
      </c>
      <c r="C30" s="50">
        <f>'Order Form'!C30</f>
        <v>0</v>
      </c>
      <c r="D30" s="50">
        <f>'Order Form'!D30</f>
        <v>0</v>
      </c>
      <c r="E30" s="50">
        <f>'Order Form'!E30</f>
        <v>0</v>
      </c>
      <c r="F30" s="50">
        <f>'Order Form'!F30</f>
        <v>0</v>
      </c>
      <c r="G30" s="164">
        <f>'Order Form'!G30</f>
        <v>0</v>
      </c>
      <c r="H30" s="164">
        <f>'Order Form'!H30</f>
        <v>0</v>
      </c>
      <c r="I30" s="70">
        <f>'Order Form'!I30</f>
        <v>0</v>
      </c>
      <c r="J30" s="50">
        <f>'Order Form'!J30</f>
        <v>0</v>
      </c>
      <c r="K30" s="121">
        <f>'Order Form'!K30</f>
        <v>0</v>
      </c>
    </row>
    <row r="31" spans="1:20" ht="15" customHeight="1" x14ac:dyDescent="0.2">
      <c r="B31" s="8" t="s">
        <v>110</v>
      </c>
      <c r="C31" s="12">
        <f>'Order Form'!C31</f>
        <v>0</v>
      </c>
      <c r="D31" s="12">
        <f>'Order Form'!D31</f>
        <v>0</v>
      </c>
      <c r="E31" s="12">
        <f>'Order Form'!E31</f>
        <v>0</v>
      </c>
      <c r="F31" s="12">
        <f>'Order Form'!F31</f>
        <v>0</v>
      </c>
      <c r="G31" s="163">
        <f>'Order Form'!G31</f>
        <v>0</v>
      </c>
      <c r="H31" s="163">
        <f>'Order Form'!H31</f>
        <v>0</v>
      </c>
      <c r="I31" s="69">
        <f>'Order Form'!I31</f>
        <v>0</v>
      </c>
      <c r="J31" s="12">
        <f>'Order Form'!J31</f>
        <v>0</v>
      </c>
      <c r="K31" s="120">
        <f>'Order Form'!K31</f>
        <v>0</v>
      </c>
    </row>
    <row r="32" spans="1:20" ht="15" customHeight="1" x14ac:dyDescent="0.2">
      <c r="B32" s="49" t="s">
        <v>111</v>
      </c>
      <c r="C32" s="50">
        <f>'Order Form'!C32</f>
        <v>0</v>
      </c>
      <c r="D32" s="50">
        <f>'Order Form'!D32</f>
        <v>0</v>
      </c>
      <c r="E32" s="50">
        <f>'Order Form'!E32</f>
        <v>0</v>
      </c>
      <c r="F32" s="50">
        <f>'Order Form'!F32</f>
        <v>0</v>
      </c>
      <c r="G32" s="164">
        <f>'Order Form'!G32</f>
        <v>0</v>
      </c>
      <c r="H32" s="164">
        <f>'Order Form'!H32</f>
        <v>0</v>
      </c>
      <c r="I32" s="70">
        <f>'Order Form'!I32</f>
        <v>0</v>
      </c>
      <c r="J32" s="50">
        <f>'Order Form'!J32</f>
        <v>0</v>
      </c>
      <c r="K32" s="121">
        <f>'Order Form'!K32</f>
        <v>0</v>
      </c>
    </row>
    <row r="33" spans="2:12" ht="15" customHeight="1" thickBot="1" x14ac:dyDescent="0.25">
      <c r="B33" s="76" t="s">
        <v>112</v>
      </c>
      <c r="C33" s="77">
        <f>'Order Form'!C33</f>
        <v>0</v>
      </c>
      <c r="D33" s="77">
        <f>'Order Form'!D33</f>
        <v>0</v>
      </c>
      <c r="E33" s="77">
        <f>'Order Form'!E33</f>
        <v>0</v>
      </c>
      <c r="F33" s="77">
        <f>'Order Form'!F33</f>
        <v>0</v>
      </c>
      <c r="G33" s="166">
        <f>'Order Form'!G33</f>
        <v>0</v>
      </c>
      <c r="H33" s="166">
        <f>'Order Form'!H33</f>
        <v>0</v>
      </c>
      <c r="I33" s="78">
        <f>'Order Form'!I33</f>
        <v>0</v>
      </c>
      <c r="J33" s="77">
        <f>'Order Form'!J33</f>
        <v>0</v>
      </c>
      <c r="K33" s="123">
        <f>'Order Form'!K33</f>
        <v>0</v>
      </c>
    </row>
    <row r="34" spans="2:12" ht="4.5" customHeight="1" thickBot="1" x14ac:dyDescent="0.25"/>
    <row r="35" spans="2:12" ht="13.5" customHeight="1" x14ac:dyDescent="0.2">
      <c r="B35" s="267" t="s">
        <v>64</v>
      </c>
      <c r="C35" s="268"/>
      <c r="D35" s="268"/>
      <c r="E35" s="268"/>
      <c r="F35" s="268"/>
      <c r="G35" s="268"/>
      <c r="H35" s="268"/>
      <c r="I35" s="268" t="str">
        <f>IF(DeliverAddress="Alternative","Alternative Address","")</f>
        <v/>
      </c>
      <c r="J35" s="269"/>
      <c r="K35" t="str">
        <f>IF(K36&lt;&gt;" ","Extras","")</f>
        <v/>
      </c>
    </row>
    <row r="36" spans="2:12" x14ac:dyDescent="0.2">
      <c r="B36" s="256"/>
      <c r="C36" s="257"/>
      <c r="D36" s="257"/>
      <c r="E36" s="257"/>
      <c r="F36" s="257"/>
      <c r="G36" s="257"/>
      <c r="H36" s="257"/>
      <c r="I36" s="262"/>
      <c r="J36" s="263"/>
      <c r="K36" s="266" t="str">
        <f>'Price Calculations'!Z59</f>
        <v xml:space="preserve"> </v>
      </c>
      <c r="L36" s="63"/>
    </row>
    <row r="37" spans="2:12" x14ac:dyDescent="0.2">
      <c r="B37" s="258"/>
      <c r="C37" s="259"/>
      <c r="D37" s="259"/>
      <c r="E37" s="259"/>
      <c r="F37" s="259"/>
      <c r="G37" s="259"/>
      <c r="H37" s="259"/>
      <c r="I37" s="259"/>
      <c r="J37" s="264"/>
      <c r="K37" s="266"/>
      <c r="L37" s="63"/>
    </row>
    <row r="38" spans="2:12" x14ac:dyDescent="0.2">
      <c r="B38" s="258"/>
      <c r="C38" s="259"/>
      <c r="D38" s="259"/>
      <c r="E38" s="259"/>
      <c r="F38" s="259"/>
      <c r="G38" s="259"/>
      <c r="H38" s="259"/>
      <c r="I38" s="259"/>
      <c r="J38" s="264"/>
      <c r="K38" s="266"/>
    </row>
    <row r="39" spans="2:12" x14ac:dyDescent="0.2">
      <c r="B39" s="258"/>
      <c r="C39" s="259"/>
      <c r="D39" s="259"/>
      <c r="E39" s="259"/>
      <c r="F39" s="259"/>
      <c r="G39" s="259"/>
      <c r="H39" s="259"/>
      <c r="I39" s="259"/>
      <c r="J39" s="264"/>
      <c r="K39" s="266"/>
    </row>
    <row r="40" spans="2:12" ht="13.5" thickBot="1" x14ac:dyDescent="0.25">
      <c r="B40" s="260"/>
      <c r="C40" s="261"/>
      <c r="D40" s="261"/>
      <c r="E40" s="261"/>
      <c r="F40" s="261"/>
      <c r="G40" s="261"/>
      <c r="H40" s="261"/>
      <c r="I40" s="261"/>
      <c r="J40" s="265"/>
      <c r="K40" s="266"/>
    </row>
    <row r="41" spans="2:12" x14ac:dyDescent="0.2">
      <c r="B41" s="51"/>
      <c r="C41" s="51"/>
      <c r="D41" s="51"/>
      <c r="E41" s="51"/>
      <c r="F41" s="51"/>
      <c r="G41" s="51"/>
      <c r="H41" s="51"/>
      <c r="I41" s="51"/>
      <c r="J41" s="51"/>
      <c r="K41" s="51"/>
    </row>
    <row r="42" spans="2:12" x14ac:dyDescent="0.2">
      <c r="C42" s="67"/>
    </row>
    <row r="43" spans="2:12" x14ac:dyDescent="0.2">
      <c r="C43" s="67"/>
    </row>
  </sheetData>
  <sheetProtection algorithmName="SHA-512" hashValue="ZRLK8ThivnCjFhE9gDSnYHPMAwmMnQvh2mxIRHHDFpZ30fsHACnjj8tv+yUmKAauMKSJaHuav5aHvfVQkVt1IA==" saltValue="a/Dqsko5k6gIHfRCwOJ0Rw==" spinCount="100000" sheet="1" objects="1" scenarios="1"/>
  <mergeCells count="16">
    <mergeCell ref="B36:H40"/>
    <mergeCell ref="I36:J40"/>
    <mergeCell ref="K36:K40"/>
    <mergeCell ref="B35:H35"/>
    <mergeCell ref="I35:J35"/>
    <mergeCell ref="K5:N5"/>
    <mergeCell ref="A6:C6"/>
    <mergeCell ref="E6:G6"/>
    <mergeCell ref="J6:K6"/>
    <mergeCell ref="D1:N1"/>
    <mergeCell ref="E2:G2"/>
    <mergeCell ref="J2:K2"/>
    <mergeCell ref="N2:O2"/>
    <mergeCell ref="E4:G4"/>
    <mergeCell ref="J4:K4"/>
    <mergeCell ref="N4:O4"/>
  </mergeCells>
  <dataValidations count="4">
    <dataValidation type="list" allowBlank="1" showInputMessage="1" showErrorMessage="1" sqref="J6:K6" xr:uid="{00000000-0002-0000-0100-000000000000}">
      <formula1>INDIRECT(Prefix &amp; "DeliveryMethod")</formula1>
    </dataValidation>
    <dataValidation type="list" allowBlank="1" showInputMessage="1" showErrorMessage="1" sqref="E6" xr:uid="{00000000-0002-0000-0100-000001000000}">
      <formula1>Materials</formula1>
    </dataValidation>
    <dataValidation allowBlank="1" sqref="P4 D2:E2 D4:E4 N2:N3 M2 L3:M3 I2:K2 I4:J4 O3:Q3" xr:uid="{00000000-0002-0000-0100-000002000000}"/>
    <dataValidation type="list" allowBlank="1" showInputMessage="1" showErrorMessage="1" sqref="I23:K33" xr:uid="{00000000-0002-0000-0100-000003000000}">
      <formula1>INDIRECT(Prefix &amp; "ToggleDesign")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C9:I19 K9:O19 G20 I20 C23:G23 C24:G24 C25:G25 C26:G26 C27:G27 C28:G28 C29:G29 C30:G30 C31:G31 G32:G33 C32:F33 I23:I33 J23:K33 H23:H3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Group Box 1">
              <controlPr defaultSize="0" autoFill="0" autoPict="0">
                <anchor moveWithCells="1">
                  <from>
                    <xdr:col>12</xdr:col>
                    <xdr:colOff>666750</xdr:colOff>
                    <xdr:row>5</xdr:row>
                    <xdr:rowOff>0</xdr:rowOff>
                  </from>
                  <to>
                    <xdr:col>15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Option Button 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14</xdr:col>
                    <xdr:colOff>47625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Option Button 3">
              <controlPr locked="0" defaultSize="0" autoFill="0" autoLine="0" autoPict="0">
                <anchor moveWithCells="1">
                  <from>
                    <xdr:col>14</xdr:col>
                    <xdr:colOff>85725</xdr:colOff>
                    <xdr:row>5</xdr:row>
                    <xdr:rowOff>19050</xdr:rowOff>
                  </from>
                  <to>
                    <xdr:col>14</xdr:col>
                    <xdr:colOff>800100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R61"/>
  <sheetViews>
    <sheetView zoomScale="75" zoomScaleNormal="75" workbookViewId="0">
      <selection activeCell="C1" sqref="C1"/>
    </sheetView>
  </sheetViews>
  <sheetFormatPr defaultColWidth="9.140625" defaultRowHeight="12.75" x14ac:dyDescent="0.2"/>
  <cols>
    <col min="1" max="1" width="15" style="87" customWidth="1"/>
    <col min="2" max="2" width="11.5703125" style="87" customWidth="1"/>
    <col min="3" max="3" width="9.140625" style="87"/>
    <col min="4" max="4" width="3.42578125" style="87" customWidth="1"/>
    <col min="5" max="5" width="12.7109375" style="87" customWidth="1"/>
    <col min="6" max="6" width="16" style="87" customWidth="1"/>
    <col min="7" max="7" width="9.5703125" style="87" customWidth="1"/>
    <col min="8" max="8" width="9.140625" style="87"/>
    <col min="9" max="9" width="9.140625" style="87" customWidth="1"/>
    <col min="10" max="18" width="9.140625" style="87" hidden="1" customWidth="1"/>
    <col min="19" max="16384" width="9.140625" style="87"/>
  </cols>
  <sheetData>
    <row r="1" spans="1:8" ht="15.75" x14ac:dyDescent="0.25">
      <c r="A1" s="85"/>
      <c r="B1" s="85"/>
      <c r="C1" s="85"/>
      <c r="D1" s="85"/>
      <c r="E1" s="85"/>
      <c r="F1" s="86" t="s">
        <v>157</v>
      </c>
      <c r="G1" s="85"/>
      <c r="H1" s="85"/>
    </row>
    <row r="2" spans="1:8" ht="10.5" customHeight="1" thickBot="1" x14ac:dyDescent="0.25">
      <c r="A2" s="85"/>
      <c r="B2" s="85"/>
      <c r="C2" s="85"/>
      <c r="D2" s="85"/>
      <c r="E2" s="85"/>
      <c r="F2" s="85"/>
      <c r="G2" s="85"/>
      <c r="H2" s="85"/>
    </row>
    <row r="3" spans="1:8" ht="13.5" thickBot="1" x14ac:dyDescent="0.25">
      <c r="A3" s="88" t="s">
        <v>102</v>
      </c>
      <c r="B3" s="270" t="str">
        <f>Dealer_Name</f>
        <v>CP Interiors</v>
      </c>
      <c r="C3" s="271"/>
      <c r="D3" s="271"/>
      <c r="E3" s="271"/>
      <c r="F3" s="271"/>
      <c r="G3" s="271"/>
      <c r="H3" s="272"/>
    </row>
    <row r="4" spans="1:8" ht="13.5" thickBot="1" x14ac:dyDescent="0.25">
      <c r="A4" s="88"/>
      <c r="B4" s="90"/>
      <c r="C4" s="90"/>
      <c r="D4" s="90"/>
      <c r="E4" s="90"/>
      <c r="F4" s="90"/>
      <c r="G4" s="89"/>
      <c r="H4" s="89"/>
    </row>
    <row r="5" spans="1:8" s="92" customFormat="1" ht="18" hidden="1" customHeight="1" thickBot="1" x14ac:dyDescent="0.25">
      <c r="A5" s="91"/>
      <c r="B5" s="91"/>
      <c r="C5" s="91"/>
      <c r="D5" s="91"/>
      <c r="E5" s="88" t="s">
        <v>158</v>
      </c>
      <c r="F5" s="91"/>
      <c r="G5" s="275"/>
      <c r="H5" s="276"/>
    </row>
    <row r="6" spans="1:8" ht="17.25" customHeight="1" thickBot="1" x14ac:dyDescent="0.25">
      <c r="A6" s="85"/>
      <c r="B6" s="85"/>
      <c r="C6" s="85"/>
      <c r="D6" s="85"/>
      <c r="E6" s="85"/>
      <c r="F6" s="85"/>
      <c r="G6" s="85"/>
      <c r="H6" s="93"/>
    </row>
    <row r="7" spans="1:8" ht="18" customHeight="1" thickBot="1" x14ac:dyDescent="0.25">
      <c r="A7" s="85"/>
      <c r="B7" s="85"/>
      <c r="C7" s="85"/>
      <c r="D7" s="85"/>
      <c r="E7" s="88" t="s">
        <v>159</v>
      </c>
      <c r="F7" s="85"/>
      <c r="G7" s="275" t="str">
        <f>SC_ACno</f>
        <v>CPSUN</v>
      </c>
      <c r="H7" s="276"/>
    </row>
    <row r="8" spans="1:8" ht="13.5" thickBot="1" x14ac:dyDescent="0.25">
      <c r="A8" s="85"/>
      <c r="B8" s="85"/>
      <c r="C8" s="85"/>
      <c r="D8" s="85"/>
      <c r="E8" s="85"/>
      <c r="F8" s="85"/>
      <c r="G8" s="85"/>
      <c r="H8" s="93"/>
    </row>
    <row r="9" spans="1:8" s="92" customFormat="1" ht="18" customHeight="1" thickBot="1" x14ac:dyDescent="0.25">
      <c r="A9" s="91"/>
      <c r="B9" s="91"/>
      <c r="C9" s="91"/>
      <c r="D9" s="91"/>
      <c r="E9" s="88" t="s">
        <v>160</v>
      </c>
      <c r="F9" s="91"/>
      <c r="G9" s="275"/>
      <c r="H9" s="276"/>
    </row>
    <row r="10" spans="1:8" s="92" customFormat="1" ht="13.5" thickBot="1" x14ac:dyDescent="0.25">
      <c r="A10" s="88"/>
      <c r="B10" s="91"/>
      <c r="C10" s="91"/>
      <c r="D10" s="91"/>
      <c r="E10" s="91"/>
      <c r="F10" s="88"/>
      <c r="G10" s="91"/>
      <c r="H10" s="94"/>
    </row>
    <row r="11" spans="1:8" ht="17.25" customHeight="1" thickBot="1" x14ac:dyDescent="0.25">
      <c r="A11" s="85"/>
      <c r="B11" s="85"/>
      <c r="C11" s="85"/>
      <c r="D11" s="85"/>
      <c r="E11" s="88" t="s">
        <v>161</v>
      </c>
      <c r="F11" s="85"/>
      <c r="G11" s="275">
        <f>SC_Order_No</f>
        <v>0</v>
      </c>
      <c r="H11" s="276"/>
    </row>
    <row r="12" spans="1:8" ht="13.5" thickBot="1" x14ac:dyDescent="0.25">
      <c r="A12" s="85"/>
      <c r="B12" s="85"/>
      <c r="C12" s="85"/>
      <c r="D12" s="85"/>
      <c r="E12" s="85"/>
      <c r="F12" s="85"/>
      <c r="G12" s="85"/>
      <c r="H12" s="93"/>
    </row>
    <row r="13" spans="1:8" ht="17.25" customHeight="1" thickBot="1" x14ac:dyDescent="0.25">
      <c r="A13" s="85"/>
      <c r="B13" s="85"/>
      <c r="C13" s="85"/>
      <c r="D13" s="85"/>
      <c r="E13" s="88" t="s">
        <v>162</v>
      </c>
      <c r="F13" s="85"/>
      <c r="G13" s="275" t="str">
        <f>Customer_Name</f>
        <v>Strachan</v>
      </c>
      <c r="H13" s="276"/>
    </row>
    <row r="14" spans="1:8" ht="13.5" thickBot="1" x14ac:dyDescent="0.25">
      <c r="A14" s="85"/>
      <c r="B14" s="85"/>
      <c r="C14" s="85"/>
      <c r="D14" s="85"/>
      <c r="E14" s="85"/>
      <c r="F14" s="85"/>
      <c r="G14" s="85"/>
      <c r="H14" s="93"/>
    </row>
    <row r="15" spans="1:8" s="92" customFormat="1" ht="18" customHeight="1" thickBot="1" x14ac:dyDescent="0.25">
      <c r="A15" s="91"/>
      <c r="B15" s="91"/>
      <c r="C15" s="91"/>
      <c r="D15" s="91"/>
      <c r="E15" s="88" t="s">
        <v>163</v>
      </c>
      <c r="F15" s="91"/>
      <c r="G15" s="275" t="str">
        <f>Dealer_Order_No</f>
        <v>SO8400</v>
      </c>
      <c r="H15" s="276"/>
    </row>
    <row r="16" spans="1:8" s="92" customFormat="1" x14ac:dyDescent="0.2">
      <c r="A16" s="88"/>
      <c r="B16" s="91"/>
      <c r="C16" s="91"/>
      <c r="D16" s="91"/>
      <c r="E16" s="91"/>
      <c r="F16" s="88"/>
      <c r="G16" s="91"/>
      <c r="H16" s="94"/>
    </row>
    <row r="17" spans="1:17" x14ac:dyDescent="0.2">
      <c r="A17" s="85"/>
      <c r="B17" s="85"/>
      <c r="C17" s="85"/>
      <c r="D17" s="85"/>
      <c r="E17" s="95" t="s">
        <v>164</v>
      </c>
      <c r="F17" s="85"/>
      <c r="G17" s="85"/>
      <c r="H17" s="85"/>
    </row>
    <row r="18" spans="1:17" x14ac:dyDescent="0.2">
      <c r="A18" s="85"/>
      <c r="B18" s="85"/>
      <c r="C18" s="85"/>
      <c r="D18" s="85"/>
      <c r="E18" s="85"/>
      <c r="F18" s="85"/>
      <c r="G18" s="85"/>
      <c r="H18" s="85"/>
    </row>
    <row r="19" spans="1:17" x14ac:dyDescent="0.2">
      <c r="A19" s="96" t="s">
        <v>165</v>
      </c>
      <c r="B19" s="286" t="s">
        <v>166</v>
      </c>
      <c r="C19" s="286"/>
      <c r="D19" s="286"/>
      <c r="E19" s="286"/>
      <c r="F19" s="286" t="s">
        <v>167</v>
      </c>
      <c r="G19" s="286"/>
      <c r="H19" s="286"/>
      <c r="J19" s="97" t="s">
        <v>168</v>
      </c>
      <c r="K19" s="98"/>
      <c r="L19" s="98"/>
      <c r="M19" s="98"/>
      <c r="N19" s="98"/>
    </row>
    <row r="20" spans="1:17" ht="45" customHeight="1" x14ac:dyDescent="0.2">
      <c r="A20" s="99"/>
      <c r="B20" s="283"/>
      <c r="C20" s="284"/>
      <c r="D20" s="284"/>
      <c r="E20" s="284"/>
      <c r="F20" s="287"/>
      <c r="G20" s="285"/>
      <c r="H20" s="285"/>
      <c r="J20" s="291"/>
      <c r="K20" s="291"/>
      <c r="L20" s="291"/>
      <c r="M20" s="291"/>
      <c r="N20" s="291"/>
    </row>
    <row r="21" spans="1:17" ht="45" customHeight="1" x14ac:dyDescent="0.2">
      <c r="A21" s="99"/>
      <c r="B21" s="284"/>
      <c r="C21" s="284"/>
      <c r="D21" s="284"/>
      <c r="E21" s="284"/>
      <c r="F21" s="285"/>
      <c r="G21" s="285"/>
      <c r="H21" s="285"/>
      <c r="J21" s="291"/>
      <c r="K21" s="291"/>
      <c r="L21" s="291"/>
      <c r="M21" s="291"/>
      <c r="N21" s="291"/>
    </row>
    <row r="22" spans="1:17" ht="45" customHeight="1" x14ac:dyDescent="0.2">
      <c r="A22" s="99"/>
      <c r="B22" s="285"/>
      <c r="C22" s="285"/>
      <c r="D22" s="285"/>
      <c r="E22" s="285"/>
      <c r="F22" s="285"/>
      <c r="G22" s="285"/>
      <c r="H22" s="285"/>
      <c r="J22" s="291"/>
      <c r="K22" s="291"/>
      <c r="L22" s="291"/>
      <c r="M22" s="291"/>
      <c r="N22" s="291"/>
    </row>
    <row r="23" spans="1:17" ht="45" customHeight="1" x14ac:dyDescent="0.2">
      <c r="A23" s="99"/>
      <c r="B23" s="285"/>
      <c r="C23" s="285"/>
      <c r="D23" s="285"/>
      <c r="E23" s="285"/>
      <c r="F23" s="285"/>
      <c r="G23" s="285"/>
      <c r="H23" s="285"/>
      <c r="J23" s="291"/>
      <c r="K23" s="291"/>
      <c r="L23" s="291"/>
      <c r="M23" s="291"/>
      <c r="N23" s="291"/>
    </row>
    <row r="24" spans="1:17" ht="45" customHeight="1" x14ac:dyDescent="0.2">
      <c r="A24" s="99"/>
      <c r="B24" s="285"/>
      <c r="C24" s="285"/>
      <c r="D24" s="285"/>
      <c r="E24" s="285"/>
      <c r="F24" s="285"/>
      <c r="G24" s="285"/>
      <c r="H24" s="285"/>
      <c r="J24" s="291"/>
      <c r="K24" s="291"/>
      <c r="L24" s="291"/>
      <c r="M24" s="291"/>
      <c r="N24" s="291"/>
    </row>
    <row r="25" spans="1:17" ht="45" customHeight="1" x14ac:dyDescent="0.2">
      <c r="A25" s="99"/>
      <c r="B25" s="285"/>
      <c r="C25" s="285"/>
      <c r="D25" s="285"/>
      <c r="E25" s="285"/>
      <c r="F25" s="285"/>
      <c r="G25" s="285"/>
      <c r="H25" s="285"/>
      <c r="J25" s="291"/>
      <c r="K25" s="291"/>
      <c r="L25" s="291"/>
      <c r="M25" s="291"/>
      <c r="N25" s="291"/>
    </row>
    <row r="26" spans="1:17" ht="45" customHeight="1" x14ac:dyDescent="0.2">
      <c r="A26" s="99"/>
      <c r="B26" s="285"/>
      <c r="C26" s="285"/>
      <c r="D26" s="285"/>
      <c r="E26" s="285"/>
      <c r="F26" s="285"/>
      <c r="G26" s="285"/>
      <c r="H26" s="285"/>
      <c r="J26" s="291"/>
      <c r="K26" s="291"/>
      <c r="L26" s="291"/>
      <c r="M26" s="291"/>
      <c r="N26" s="291"/>
    </row>
    <row r="27" spans="1:17" ht="45" customHeight="1" x14ac:dyDescent="0.2">
      <c r="A27" s="99"/>
      <c r="B27" s="285"/>
      <c r="C27" s="285"/>
      <c r="D27" s="285"/>
      <c r="E27" s="285"/>
      <c r="F27" s="285"/>
      <c r="G27" s="285"/>
      <c r="H27" s="285"/>
      <c r="J27" s="291"/>
      <c r="K27" s="291"/>
      <c r="L27" s="291"/>
      <c r="M27" s="291"/>
      <c r="N27" s="291"/>
    </row>
    <row r="28" spans="1:17" x14ac:dyDescent="0.2">
      <c r="A28" s="100"/>
      <c r="B28" s="100"/>
      <c r="C28" s="100"/>
      <c r="D28" s="100"/>
      <c r="E28" s="100"/>
      <c r="F28" s="100"/>
      <c r="G28" s="100"/>
      <c r="H28" s="100"/>
      <c r="I28" s="292" t="s">
        <v>169</v>
      </c>
      <c r="J28" s="293"/>
      <c r="K28" s="294"/>
      <c r="L28" s="294"/>
      <c r="M28" s="294"/>
      <c r="N28" s="294"/>
      <c r="O28" s="294"/>
      <c r="P28" s="294"/>
      <c r="Q28" s="294"/>
    </row>
    <row r="29" spans="1:17" x14ac:dyDescent="0.2">
      <c r="A29" s="85" t="s">
        <v>170</v>
      </c>
      <c r="B29" s="101"/>
      <c r="C29" s="85" t="s">
        <v>171</v>
      </c>
      <c r="D29" s="85"/>
      <c r="E29" s="85"/>
      <c r="F29" s="85"/>
      <c r="G29" s="85"/>
      <c r="H29" s="85"/>
      <c r="I29" s="292"/>
      <c r="J29" s="293"/>
      <c r="K29" s="294"/>
      <c r="L29" s="294"/>
      <c r="M29" s="294"/>
      <c r="N29" s="294"/>
      <c r="O29" s="294"/>
      <c r="P29" s="294"/>
      <c r="Q29" s="294"/>
    </row>
    <row r="30" spans="1:17" x14ac:dyDescent="0.2">
      <c r="A30" s="85"/>
      <c r="B30" s="85"/>
      <c r="C30" s="85"/>
      <c r="D30" s="85"/>
      <c r="E30" s="85"/>
      <c r="F30" s="85"/>
      <c r="G30" s="85"/>
      <c r="H30" s="85"/>
      <c r="J30" s="293"/>
      <c r="K30" s="294"/>
      <c r="L30" s="294"/>
      <c r="M30" s="294"/>
      <c r="N30" s="294"/>
      <c r="O30" s="294"/>
      <c r="P30" s="294"/>
      <c r="Q30" s="294"/>
    </row>
    <row r="31" spans="1:17" x14ac:dyDescent="0.2">
      <c r="A31" s="85"/>
      <c r="B31" s="85"/>
      <c r="C31" s="85"/>
      <c r="D31" s="85"/>
      <c r="E31" s="102" t="s">
        <v>172</v>
      </c>
      <c r="F31" s="85"/>
      <c r="G31" s="85"/>
      <c r="H31" s="85"/>
      <c r="J31" s="293"/>
      <c r="K31" s="294"/>
      <c r="L31" s="294"/>
      <c r="M31" s="294"/>
      <c r="N31" s="294"/>
      <c r="O31" s="294"/>
      <c r="P31" s="294"/>
      <c r="Q31" s="294"/>
    </row>
    <row r="32" spans="1:17" x14ac:dyDescent="0.2">
      <c r="A32" s="85"/>
      <c r="B32" s="85"/>
      <c r="C32" s="85"/>
      <c r="D32" s="85"/>
      <c r="E32" s="102" t="s">
        <v>173</v>
      </c>
      <c r="F32" s="85"/>
      <c r="G32" s="85"/>
      <c r="H32" s="85"/>
      <c r="J32" s="293"/>
      <c r="K32" s="294"/>
      <c r="L32" s="294"/>
      <c r="M32" s="294"/>
      <c r="N32" s="294"/>
      <c r="O32" s="294"/>
      <c r="P32" s="294"/>
      <c r="Q32" s="294"/>
    </row>
    <row r="33" spans="1:8" ht="13.5" thickBot="1" x14ac:dyDescent="0.25">
      <c r="F33" s="103"/>
    </row>
    <row r="34" spans="1:8" ht="18" customHeight="1" thickBot="1" x14ac:dyDescent="0.25">
      <c r="A34" s="277" t="s">
        <v>174</v>
      </c>
      <c r="B34" s="278"/>
      <c r="C34" s="279"/>
      <c r="F34" s="104" t="s">
        <v>175</v>
      </c>
      <c r="G34" s="273"/>
      <c r="H34" s="274"/>
    </row>
    <row r="35" spans="1:8" ht="13.5" thickBot="1" x14ac:dyDescent="0.25">
      <c r="A35" s="105"/>
      <c r="B35" s="106"/>
      <c r="C35" s="107"/>
      <c r="F35" s="108"/>
    </row>
    <row r="36" spans="1:8" ht="18" customHeight="1" thickBot="1" x14ac:dyDescent="0.25">
      <c r="A36" s="280"/>
      <c r="B36" s="281"/>
      <c r="C36" s="282"/>
      <c r="F36" s="104" t="s">
        <v>176</v>
      </c>
      <c r="G36" s="273"/>
      <c r="H36" s="274"/>
    </row>
    <row r="37" spans="1:8" ht="13.5" thickBot="1" x14ac:dyDescent="0.25">
      <c r="A37" s="280" t="s">
        <v>177</v>
      </c>
      <c r="B37" s="281"/>
      <c r="C37" s="282"/>
      <c r="F37" s="104"/>
    </row>
    <row r="38" spans="1:8" ht="18" customHeight="1" thickBot="1" x14ac:dyDescent="0.25">
      <c r="A38" s="280" t="str">
        <f>IF(A36="Covered","Subject to factory approval.","")</f>
        <v/>
      </c>
      <c r="B38" s="281"/>
      <c r="C38" s="282"/>
      <c r="F38" s="104" t="s">
        <v>178</v>
      </c>
      <c r="G38" s="273"/>
      <c r="H38" s="274"/>
    </row>
    <row r="39" spans="1:8" ht="13.5" thickBot="1" x14ac:dyDescent="0.25">
      <c r="A39" s="288" t="str">
        <f>IF(A36="Covered","Scraft will contact you if approval is not given","")</f>
        <v/>
      </c>
      <c r="B39" s="289"/>
      <c r="C39" s="290"/>
      <c r="F39" s="104"/>
    </row>
    <row r="40" spans="1:8" ht="18" customHeight="1" thickBot="1" x14ac:dyDescent="0.25">
      <c r="F40" s="104" t="s">
        <v>9</v>
      </c>
      <c r="G40" s="273"/>
      <c r="H40" s="274"/>
    </row>
    <row r="41" spans="1:8" ht="13.5" thickBot="1" x14ac:dyDescent="0.25">
      <c r="F41" s="104"/>
    </row>
    <row r="42" spans="1:8" ht="18" customHeight="1" thickBot="1" x14ac:dyDescent="0.25">
      <c r="F42" s="104" t="s">
        <v>179</v>
      </c>
      <c r="G42" s="273"/>
      <c r="H42" s="274"/>
    </row>
    <row r="43" spans="1:8" ht="13.5" thickBot="1" x14ac:dyDescent="0.25"/>
    <row r="44" spans="1:8" x14ac:dyDescent="0.2">
      <c r="A44" s="109"/>
      <c r="B44" s="110"/>
      <c r="C44" s="110"/>
      <c r="D44" s="110"/>
      <c r="E44" s="110"/>
      <c r="F44" s="110"/>
      <c r="G44" s="110"/>
      <c r="H44" s="111"/>
    </row>
    <row r="45" spans="1:8" x14ac:dyDescent="0.2">
      <c r="A45" s="105"/>
      <c r="B45" s="106" t="s">
        <v>180</v>
      </c>
      <c r="C45" s="106"/>
      <c r="D45" s="106"/>
      <c r="E45" s="106"/>
      <c r="F45" s="106"/>
      <c r="G45" s="106"/>
      <c r="H45" s="107"/>
    </row>
    <row r="46" spans="1:8" x14ac:dyDescent="0.2">
      <c r="A46" s="105"/>
      <c r="B46" s="106" t="s">
        <v>181</v>
      </c>
      <c r="C46" s="106"/>
      <c r="D46" s="106">
        <f>G34</f>
        <v>0</v>
      </c>
      <c r="E46" s="106"/>
      <c r="F46" s="106"/>
      <c r="G46" s="106"/>
      <c r="H46" s="107"/>
    </row>
    <row r="47" spans="1:8" ht="13.5" hidden="1" thickBot="1" x14ac:dyDescent="0.25">
      <c r="A47" s="112"/>
      <c r="B47" s="113"/>
      <c r="C47" s="113"/>
      <c r="D47" s="113"/>
      <c r="E47" s="113"/>
      <c r="F47" s="113"/>
      <c r="G47" s="113"/>
      <c r="H47" s="114"/>
    </row>
    <row r="48" spans="1: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</sheetData>
  <sheetProtection algorithmName="SHA-512" hashValue="CMG2HSwJSyH8qO7gauHi56GrSLlJpGXop/3KCVxMHf9vL4L8lJG43B+IX1JX/xKh/FIkAmygCKPexg1noNm+mA==" saltValue="cDpET6AG2QfR1RzmDDss9g==" spinCount="100000" sheet="1" objects="1" scenarios="1"/>
  <mergeCells count="45">
    <mergeCell ref="B24:E24"/>
    <mergeCell ref="B25:E25"/>
    <mergeCell ref="J25:N25"/>
    <mergeCell ref="J26:N26"/>
    <mergeCell ref="B27:E27"/>
    <mergeCell ref="F20:H20"/>
    <mergeCell ref="A38:C38"/>
    <mergeCell ref="A39:C39"/>
    <mergeCell ref="F27:H27"/>
    <mergeCell ref="J27:N27"/>
    <mergeCell ref="J20:N20"/>
    <mergeCell ref="J21:N21"/>
    <mergeCell ref="J22:N22"/>
    <mergeCell ref="J23:N23"/>
    <mergeCell ref="F26:H26"/>
    <mergeCell ref="J24:N24"/>
    <mergeCell ref="I28:I29"/>
    <mergeCell ref="J28:Q32"/>
    <mergeCell ref="A37:C37"/>
    <mergeCell ref="B26:E26"/>
    <mergeCell ref="B23:E23"/>
    <mergeCell ref="G40:H40"/>
    <mergeCell ref="G42:H42"/>
    <mergeCell ref="G34:H34"/>
    <mergeCell ref="F21:H21"/>
    <mergeCell ref="F22:H22"/>
    <mergeCell ref="F23:H23"/>
    <mergeCell ref="F24:H24"/>
    <mergeCell ref="F25:H25"/>
    <mergeCell ref="B3:H3"/>
    <mergeCell ref="G36:H36"/>
    <mergeCell ref="G38:H38"/>
    <mergeCell ref="G15:H15"/>
    <mergeCell ref="G5:H5"/>
    <mergeCell ref="G13:H13"/>
    <mergeCell ref="G11:H11"/>
    <mergeCell ref="G7:H7"/>
    <mergeCell ref="A34:C34"/>
    <mergeCell ref="A36:C36"/>
    <mergeCell ref="G9:H9"/>
    <mergeCell ref="B20:E20"/>
    <mergeCell ref="B21:E21"/>
    <mergeCell ref="B22:E22"/>
    <mergeCell ref="F19:H19"/>
    <mergeCell ref="B19:E19"/>
  </mergeCells>
  <phoneticPr fontId="19" type="noConversion"/>
  <conditionalFormatting sqref="G36:H36 G38:H38 G40:H40 G42:H42 G34:H34 G5:H5 G9:H9">
    <cfRule type="expression" dxfId="3" priority="1" stopIfTrue="1">
      <formula>SC_Order_No=""</formula>
    </cfRule>
  </conditionalFormatting>
  <conditionalFormatting sqref="B29 A36:C36 G11:H11">
    <cfRule type="cellIs" dxfId="2" priority="2" stopIfTrue="1" operator="equal">
      <formula>""</formula>
    </cfRule>
  </conditionalFormatting>
  <conditionalFormatting sqref="G7:H7">
    <cfRule type="cellIs" dxfId="1" priority="3" stopIfTrue="1" operator="equal">
      <formula>""</formula>
    </cfRule>
  </conditionalFormatting>
  <dataValidations count="4">
    <dataValidation type="list" allowBlank="1" showInputMessage="1" showErrorMessage="1" sqref="B29" xr:uid="{00000000-0002-0000-0200-000000000000}">
      <formula1>"requested,not requested"</formula1>
    </dataValidation>
    <dataValidation type="list" allowBlank="1" showInputMessage="1" showErrorMessage="1" sqref="A36:C36" xr:uid="{00000000-0002-0000-0200-000001000000}">
      <formula1>"COVERED,NOT COVERED"</formula1>
    </dataValidation>
    <dataValidation type="list" allowBlank="1" showInputMessage="1" showErrorMessage="1" sqref="G34:H34" xr:uid="{00000000-0002-0000-0200-000002000000}">
      <formula1>"Sea,Air"</formula1>
    </dataValidation>
    <dataValidation type="list" allowBlank="1" showInputMessage="1" showErrorMessage="1" sqref="E45" xr:uid="{00000000-0002-0000-02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Z88"/>
  <sheetViews>
    <sheetView topLeftCell="CA1" zoomScale="70" zoomScaleNormal="70" workbookViewId="0">
      <selection sqref="A1:BZ1048576"/>
    </sheetView>
  </sheetViews>
  <sheetFormatPr defaultRowHeight="12.75" x14ac:dyDescent="0.2"/>
  <cols>
    <col min="1" max="1" width="14.5703125" hidden="1" customWidth="1"/>
    <col min="2" max="2" width="14.28515625" hidden="1" customWidth="1"/>
    <col min="3" max="3" width="5.85546875" hidden="1" customWidth="1"/>
    <col min="4" max="4" width="10.5703125" hidden="1" customWidth="1"/>
    <col min="5" max="5" width="11.42578125" hidden="1" customWidth="1"/>
    <col min="6" max="6" width="5.85546875" hidden="1" customWidth="1"/>
    <col min="7" max="7" width="6.5703125" hidden="1" customWidth="1"/>
    <col min="8" max="8" width="8.5703125" hidden="1" customWidth="1"/>
    <col min="9" max="9" width="4.7109375" hidden="1" customWidth="1"/>
    <col min="10" max="10" width="12" hidden="1" customWidth="1"/>
    <col min="11" max="12" width="4.7109375" hidden="1" customWidth="1"/>
    <col min="13" max="13" width="10.42578125" hidden="1" customWidth="1"/>
    <col min="14" max="16" width="4.7109375" hidden="1" customWidth="1"/>
    <col min="17" max="17" width="7" hidden="1" customWidth="1"/>
    <col min="18" max="18" width="6" hidden="1" customWidth="1"/>
    <col min="19" max="21" width="4.7109375" hidden="1" customWidth="1"/>
    <col min="22" max="23" width="6.42578125" hidden="1" customWidth="1"/>
    <col min="24" max="24" width="14.28515625" hidden="1" customWidth="1"/>
    <col min="25" max="25" width="8.7109375" hidden="1" customWidth="1"/>
    <col min="26" max="26" width="12.5703125" hidden="1" customWidth="1"/>
    <col min="27" max="27" width="4.7109375" hidden="1" customWidth="1"/>
    <col min="28" max="28" width="13.42578125" hidden="1" customWidth="1"/>
    <col min="29" max="78" width="9.140625" hidden="1" customWidth="1"/>
  </cols>
  <sheetData>
    <row r="1" spans="1:52" x14ac:dyDescent="0.2">
      <c r="A1" s="20" t="s">
        <v>81</v>
      </c>
      <c r="B1" s="65">
        <f>IF(AND(Discount&gt;33%,WoodType="Vogue"),32.5%,Discount)</f>
        <v>0.3</v>
      </c>
      <c r="D1" s="16" t="s">
        <v>83</v>
      </c>
      <c r="F1" t="s">
        <v>82</v>
      </c>
    </row>
    <row r="2" spans="1:52" x14ac:dyDescent="0.2">
      <c r="A2" t="s">
        <v>97</v>
      </c>
      <c r="B2" t="str">
        <f>WoodType</f>
        <v>PureWood Blinds</v>
      </c>
      <c r="D2" t="s">
        <v>131</v>
      </c>
    </row>
    <row r="3" spans="1:52" x14ac:dyDescent="0.2">
      <c r="A3" s="20" t="s">
        <v>117</v>
      </c>
      <c r="B3" s="52">
        <v>9.99</v>
      </c>
    </row>
    <row r="4" spans="1:52" x14ac:dyDescent="0.2">
      <c r="A4" t="s">
        <v>121</v>
      </c>
      <c r="B4" t="str">
        <f>VLOOKUP(B2,A56:C58,3,FALSE)</f>
        <v>PureB</v>
      </c>
      <c r="D4" t="str">
        <f>Prefix</f>
        <v>b_</v>
      </c>
    </row>
    <row r="5" spans="1:52" x14ac:dyDescent="0.2">
      <c r="A5" t="s">
        <v>147</v>
      </c>
    </row>
    <row r="6" spans="1:52" x14ac:dyDescent="0.2">
      <c r="A6" s="3" t="s">
        <v>58</v>
      </c>
    </row>
    <row r="7" spans="1:52" ht="79.5" customHeight="1" x14ac:dyDescent="0.2">
      <c r="A7" s="2" t="s">
        <v>17</v>
      </c>
      <c r="B7" s="2" t="s">
        <v>0</v>
      </c>
      <c r="C7" s="2" t="s">
        <v>14</v>
      </c>
      <c r="D7" s="2" t="s">
        <v>18</v>
      </c>
      <c r="E7" s="2" t="s">
        <v>19</v>
      </c>
      <c r="F7" s="2" t="s">
        <v>15</v>
      </c>
      <c r="G7" s="2" t="s">
        <v>20</v>
      </c>
      <c r="H7" s="2" t="s">
        <v>10</v>
      </c>
      <c r="I7" s="2" t="s">
        <v>21</v>
      </c>
      <c r="J7" s="2" t="s">
        <v>22</v>
      </c>
      <c r="K7" s="2" t="s">
        <v>23</v>
      </c>
      <c r="L7" s="2" t="s">
        <v>24</v>
      </c>
      <c r="M7" s="2" t="s">
        <v>25</v>
      </c>
      <c r="N7" s="2" t="s">
        <v>1</v>
      </c>
      <c r="O7" s="2" t="s">
        <v>26</v>
      </c>
      <c r="P7" s="2" t="s">
        <v>27</v>
      </c>
      <c r="Q7" s="2" t="s">
        <v>200</v>
      </c>
      <c r="R7" s="167" t="s">
        <v>273</v>
      </c>
      <c r="S7" s="2" t="str">
        <f>IF(WoodType="Vogue","Number of Swivel Brackets","Toggle Design")</f>
        <v>Toggle Design</v>
      </c>
      <c r="T7" s="2" t="s">
        <v>30</v>
      </c>
      <c r="U7" s="2" t="s">
        <v>31</v>
      </c>
      <c r="V7" s="2" t="s">
        <v>33</v>
      </c>
    </row>
    <row r="8" spans="1:52" x14ac:dyDescent="0.2">
      <c r="A8" t="str">
        <f>'Order Form'!B9</f>
        <v>CB001</v>
      </c>
      <c r="B8" t="str">
        <f>'Order Form'!C9</f>
        <v>Kitchen</v>
      </c>
      <c r="C8">
        <f>'Order Form'!D9</f>
        <v>1</v>
      </c>
      <c r="D8" t="str">
        <f>'Order Form'!F9</f>
        <v>001 Pure White</v>
      </c>
      <c r="E8" t="str">
        <f>'Order Form'!G9</f>
        <v>IM</v>
      </c>
      <c r="F8">
        <f>'Order Form'!H9</f>
        <v>840</v>
      </c>
      <c r="G8">
        <f>'Order Form'!I9</f>
        <v>1290</v>
      </c>
      <c r="H8">
        <f>((F8*G8)/(1000*1000))*C8</f>
        <v>1.0835999999999999</v>
      </c>
      <c r="I8" t="str">
        <f>'Order Form'!L9</f>
        <v>Default</v>
      </c>
      <c r="J8" t="str">
        <f>'Order Form'!E9</f>
        <v>50.8mm</v>
      </c>
      <c r="K8" t="str">
        <f>'Order Form'!O9</f>
        <v>Not Required</v>
      </c>
      <c r="L8" t="str">
        <f>'Order Form'!K9</f>
        <v>LC</v>
      </c>
      <c r="M8" t="str">
        <f>'Order Form'!M9</f>
        <v>Default</v>
      </c>
      <c r="N8" t="str">
        <f>'Order Form'!N9</f>
        <v>Not Required</v>
      </c>
      <c r="O8" t="str">
        <f>'Order Form'!E23</f>
        <v>Left</v>
      </c>
      <c r="P8" t="str">
        <f>'Order Form'!F23</f>
        <v>Right</v>
      </c>
      <c r="Q8" s="72" t="str">
        <f>'Order Form'!G23</f>
        <v>63.5mm Ramp</v>
      </c>
      <c r="R8" s="72">
        <f>'Order Form'!H23</f>
        <v>40</v>
      </c>
      <c r="S8" s="72" t="str">
        <f>'Order Form'!I23</f>
        <v>Pear</v>
      </c>
      <c r="T8" t="str">
        <f>'Order Form'!D23</f>
        <v>None</v>
      </c>
      <c r="U8" t="str">
        <f>'Order Form'!J23</f>
        <v>No</v>
      </c>
      <c r="V8">
        <f>'Order Form'!K23</f>
        <v>1</v>
      </c>
      <c r="AZ8" t="s">
        <v>79</v>
      </c>
    </row>
    <row r="9" spans="1:52" x14ac:dyDescent="0.2">
      <c r="A9" t="str">
        <f>'Order Form'!B10</f>
        <v>CB002</v>
      </c>
      <c r="B9">
        <f>'Order Form'!C10</f>
        <v>0</v>
      </c>
      <c r="C9">
        <f>'Order Form'!D10</f>
        <v>0</v>
      </c>
      <c r="D9">
        <f>'Order Form'!F10</f>
        <v>0</v>
      </c>
      <c r="E9">
        <f>'Order Form'!G10</f>
        <v>0</v>
      </c>
      <c r="F9">
        <f>'Order Form'!H10</f>
        <v>0</v>
      </c>
      <c r="G9">
        <f>'Order Form'!I10</f>
        <v>0</v>
      </c>
      <c r="H9">
        <f>((F9*G9)/(1000*1000))*C9</f>
        <v>0</v>
      </c>
      <c r="I9">
        <f>'Order Form'!L10</f>
        <v>0</v>
      </c>
      <c r="J9">
        <f>'Order Form'!E10</f>
        <v>0</v>
      </c>
      <c r="K9">
        <f>'Order Form'!O10</f>
        <v>0</v>
      </c>
      <c r="L9">
        <f>'Order Form'!K10</f>
        <v>0</v>
      </c>
      <c r="M9">
        <f>'Order Form'!M10</f>
        <v>0</v>
      </c>
      <c r="N9">
        <f>'Order Form'!N10</f>
        <v>0</v>
      </c>
      <c r="O9">
        <f>'Order Form'!E24</f>
        <v>0</v>
      </c>
      <c r="P9">
        <f>'Order Form'!F24</f>
        <v>0</v>
      </c>
      <c r="Q9" s="72">
        <f>'Order Form'!G24</f>
        <v>0</v>
      </c>
      <c r="R9" s="72">
        <f>'Order Form'!H24</f>
        <v>0</v>
      </c>
      <c r="S9" s="72">
        <f>'Order Form'!I24</f>
        <v>0</v>
      </c>
      <c r="T9">
        <f>'Order Form'!D24</f>
        <v>0</v>
      </c>
      <c r="U9">
        <f>'Order Form'!J24</f>
        <v>0</v>
      </c>
      <c r="V9">
        <f>'Order Form'!K24</f>
        <v>0</v>
      </c>
    </row>
    <row r="10" spans="1:52" x14ac:dyDescent="0.2">
      <c r="A10" t="str">
        <f>'Order Form'!B11</f>
        <v>CB003</v>
      </c>
      <c r="B10">
        <f>'Order Form'!C11</f>
        <v>0</v>
      </c>
      <c r="C10">
        <f>'Order Form'!D11</f>
        <v>0</v>
      </c>
      <c r="D10">
        <f>'Order Form'!F11</f>
        <v>0</v>
      </c>
      <c r="E10">
        <f>'Order Form'!G11</f>
        <v>0</v>
      </c>
      <c r="F10">
        <f>'Order Form'!H11</f>
        <v>0</v>
      </c>
      <c r="G10">
        <f>'Order Form'!I11</f>
        <v>0</v>
      </c>
      <c r="H10">
        <f>((F10*G10)/(1000*1000))*C10</f>
        <v>0</v>
      </c>
      <c r="I10">
        <f>'Order Form'!L11</f>
        <v>0</v>
      </c>
      <c r="J10">
        <f>'Order Form'!E11</f>
        <v>0</v>
      </c>
      <c r="K10">
        <f>'Order Form'!O11</f>
        <v>0</v>
      </c>
      <c r="L10">
        <f>'Order Form'!K11</f>
        <v>0</v>
      </c>
      <c r="M10">
        <f>'Order Form'!M11</f>
        <v>0</v>
      </c>
      <c r="N10">
        <f>'Order Form'!N11</f>
        <v>0</v>
      </c>
      <c r="O10">
        <f>'Order Form'!E25</f>
        <v>0</v>
      </c>
      <c r="P10">
        <f>'Order Form'!F25</f>
        <v>0</v>
      </c>
      <c r="Q10" s="72">
        <f>'Order Form'!G25</f>
        <v>0</v>
      </c>
      <c r="R10" s="72">
        <f>'Order Form'!H25</f>
        <v>0</v>
      </c>
      <c r="S10" s="72">
        <f>'Order Form'!I25</f>
        <v>0</v>
      </c>
      <c r="T10">
        <f>'Order Form'!D25</f>
        <v>0</v>
      </c>
      <c r="U10">
        <f>'Order Form'!J25</f>
        <v>0</v>
      </c>
      <c r="V10">
        <f>'Order Form'!K25</f>
        <v>0</v>
      </c>
    </row>
    <row r="11" spans="1:52" x14ac:dyDescent="0.2">
      <c r="A11" t="str">
        <f>'Order Form'!B12</f>
        <v>CB004</v>
      </c>
      <c r="B11">
        <f>'Order Form'!C12</f>
        <v>0</v>
      </c>
      <c r="C11">
        <f>'Order Form'!D12</f>
        <v>0</v>
      </c>
      <c r="D11">
        <f>'Order Form'!F12</f>
        <v>0</v>
      </c>
      <c r="E11">
        <f>'Order Form'!G12</f>
        <v>0</v>
      </c>
      <c r="F11">
        <f>'Order Form'!H12</f>
        <v>0</v>
      </c>
      <c r="G11">
        <f>'Order Form'!I12</f>
        <v>0</v>
      </c>
      <c r="H11">
        <f>((F11*G11)/(1000*1000))*C11</f>
        <v>0</v>
      </c>
      <c r="I11">
        <f>'Order Form'!L12</f>
        <v>0</v>
      </c>
      <c r="J11">
        <f>'Order Form'!E12</f>
        <v>0</v>
      </c>
      <c r="K11">
        <f>'Order Form'!O12</f>
        <v>0</v>
      </c>
      <c r="L11">
        <f>'Order Form'!K12</f>
        <v>0</v>
      </c>
      <c r="M11">
        <f>'Order Form'!M12</f>
        <v>0</v>
      </c>
      <c r="N11">
        <f>'Order Form'!N12</f>
        <v>0</v>
      </c>
      <c r="O11">
        <f>'Order Form'!E26</f>
        <v>0</v>
      </c>
      <c r="P11">
        <f>'Order Form'!F26</f>
        <v>0</v>
      </c>
      <c r="Q11" s="72">
        <f>'Order Form'!G26</f>
        <v>0</v>
      </c>
      <c r="R11" s="72">
        <f>'Order Form'!H26</f>
        <v>0</v>
      </c>
      <c r="S11" s="72">
        <f>'Order Form'!I26</f>
        <v>0</v>
      </c>
      <c r="T11">
        <f>'Order Form'!D26</f>
        <v>0</v>
      </c>
      <c r="U11">
        <f>'Order Form'!J26</f>
        <v>0</v>
      </c>
      <c r="V11">
        <f>'Order Form'!K26</f>
        <v>0</v>
      </c>
    </row>
    <row r="12" spans="1:52" x14ac:dyDescent="0.2">
      <c r="A12" t="str">
        <f>'Order Form'!B13</f>
        <v>CB005</v>
      </c>
      <c r="B12">
        <f>'Order Form'!C13</f>
        <v>0</v>
      </c>
      <c r="C12">
        <f>'Order Form'!D13</f>
        <v>0</v>
      </c>
      <c r="D12">
        <f>'Order Form'!F13</f>
        <v>0</v>
      </c>
      <c r="E12">
        <f>'Order Form'!G13</f>
        <v>0</v>
      </c>
      <c r="F12">
        <f>'Order Form'!H13</f>
        <v>0</v>
      </c>
      <c r="G12">
        <f>'Order Form'!I13</f>
        <v>0</v>
      </c>
      <c r="H12">
        <f t="shared" ref="H12:H18" si="0">((F12*G12)/(1000*1000))*C12</f>
        <v>0</v>
      </c>
      <c r="I12">
        <f>'Order Form'!L13</f>
        <v>0</v>
      </c>
      <c r="J12">
        <f>'Order Form'!E13</f>
        <v>0</v>
      </c>
      <c r="K12">
        <f>'Order Form'!O13</f>
        <v>0</v>
      </c>
      <c r="L12">
        <f>'Order Form'!K13</f>
        <v>0</v>
      </c>
      <c r="M12">
        <f>'Order Form'!M13</f>
        <v>0</v>
      </c>
      <c r="N12">
        <f>'Order Form'!N13</f>
        <v>0</v>
      </c>
      <c r="O12">
        <f>'Order Form'!E27</f>
        <v>0</v>
      </c>
      <c r="P12">
        <f>'Order Form'!F27</f>
        <v>0</v>
      </c>
      <c r="Q12" s="72">
        <f>'Order Form'!G27</f>
        <v>0</v>
      </c>
      <c r="R12" s="72">
        <f>'Order Form'!H27</f>
        <v>0</v>
      </c>
      <c r="S12" s="72">
        <f>'Order Form'!I27</f>
        <v>0</v>
      </c>
      <c r="T12">
        <f>'Order Form'!D27</f>
        <v>0</v>
      </c>
      <c r="U12">
        <f>'Order Form'!J27</f>
        <v>0</v>
      </c>
      <c r="V12">
        <f>'Order Form'!K27</f>
        <v>0</v>
      </c>
    </row>
    <row r="13" spans="1:52" x14ac:dyDescent="0.2">
      <c r="A13" t="str">
        <f>'Order Form'!B14</f>
        <v>CB006</v>
      </c>
      <c r="B13">
        <f>'Order Form'!C14</f>
        <v>0</v>
      </c>
      <c r="C13">
        <f>'Order Form'!D14</f>
        <v>0</v>
      </c>
      <c r="D13">
        <f>'Order Form'!F14</f>
        <v>0</v>
      </c>
      <c r="E13">
        <f>'Order Form'!G14</f>
        <v>0</v>
      </c>
      <c r="F13">
        <f>'Order Form'!H14</f>
        <v>0</v>
      </c>
      <c r="G13">
        <f>'Order Form'!I14</f>
        <v>0</v>
      </c>
      <c r="H13">
        <f t="shared" si="0"/>
        <v>0</v>
      </c>
      <c r="I13">
        <f>'Order Form'!L14</f>
        <v>0</v>
      </c>
      <c r="J13">
        <f>'Order Form'!E14</f>
        <v>0</v>
      </c>
      <c r="K13">
        <f>'Order Form'!O14</f>
        <v>0</v>
      </c>
      <c r="L13">
        <f>'Order Form'!K14</f>
        <v>0</v>
      </c>
      <c r="M13">
        <f>'Order Form'!M14</f>
        <v>0</v>
      </c>
      <c r="N13">
        <f>'Order Form'!N14</f>
        <v>0</v>
      </c>
      <c r="O13">
        <f>'Order Form'!E28</f>
        <v>0</v>
      </c>
      <c r="P13">
        <f>'Order Form'!F28</f>
        <v>0</v>
      </c>
      <c r="Q13" s="72">
        <f>'Order Form'!G28</f>
        <v>0</v>
      </c>
      <c r="R13" s="72">
        <f>'Order Form'!H28</f>
        <v>0</v>
      </c>
      <c r="S13" s="72">
        <f>'Order Form'!I28</f>
        <v>0</v>
      </c>
      <c r="T13">
        <f>'Order Form'!D28</f>
        <v>0</v>
      </c>
      <c r="U13">
        <f>'Order Form'!J28</f>
        <v>0</v>
      </c>
      <c r="V13">
        <f>'Order Form'!K28</f>
        <v>0</v>
      </c>
    </row>
    <row r="14" spans="1:52" x14ac:dyDescent="0.2">
      <c r="A14" t="str">
        <f>'Order Form'!B15</f>
        <v>CB007</v>
      </c>
      <c r="B14">
        <f>'Order Form'!C15</f>
        <v>0</v>
      </c>
      <c r="C14">
        <f>'Order Form'!D15</f>
        <v>0</v>
      </c>
      <c r="D14">
        <f>'Order Form'!F15</f>
        <v>0</v>
      </c>
      <c r="E14">
        <f>'Order Form'!G15</f>
        <v>0</v>
      </c>
      <c r="F14">
        <f>'Order Form'!H15</f>
        <v>0</v>
      </c>
      <c r="G14">
        <f>'Order Form'!I15</f>
        <v>0</v>
      </c>
      <c r="H14">
        <f t="shared" si="0"/>
        <v>0</v>
      </c>
      <c r="I14">
        <f>'Order Form'!L15</f>
        <v>0</v>
      </c>
      <c r="J14">
        <f>'Order Form'!E15</f>
        <v>0</v>
      </c>
      <c r="K14">
        <f>'Order Form'!O15</f>
        <v>0</v>
      </c>
      <c r="L14">
        <f>'Order Form'!K15</f>
        <v>0</v>
      </c>
      <c r="M14">
        <f>'Order Form'!M15</f>
        <v>0</v>
      </c>
      <c r="N14">
        <f>'Order Form'!N15</f>
        <v>0</v>
      </c>
      <c r="O14">
        <f>'Order Form'!E29</f>
        <v>0</v>
      </c>
      <c r="P14">
        <f>'Order Form'!F29</f>
        <v>0</v>
      </c>
      <c r="Q14" s="72">
        <f>'Order Form'!G29</f>
        <v>0</v>
      </c>
      <c r="R14" s="72">
        <f>'Order Form'!H29</f>
        <v>0</v>
      </c>
      <c r="S14" s="72">
        <f>'Order Form'!I29</f>
        <v>0</v>
      </c>
      <c r="T14">
        <f>'Order Form'!D29</f>
        <v>0</v>
      </c>
      <c r="U14">
        <f>'Order Form'!J29</f>
        <v>0</v>
      </c>
      <c r="V14">
        <f>'Order Form'!K29</f>
        <v>0</v>
      </c>
    </row>
    <row r="15" spans="1:52" x14ac:dyDescent="0.2">
      <c r="A15" t="str">
        <f>'Order Form'!B16</f>
        <v>CB008</v>
      </c>
      <c r="B15">
        <f>'Order Form'!C16</f>
        <v>0</v>
      </c>
      <c r="C15">
        <f>'Order Form'!D16</f>
        <v>0</v>
      </c>
      <c r="D15">
        <f>'Order Form'!F16</f>
        <v>0</v>
      </c>
      <c r="E15">
        <f>'Order Form'!G16</f>
        <v>0</v>
      </c>
      <c r="F15">
        <f>'Order Form'!H16</f>
        <v>0</v>
      </c>
      <c r="G15">
        <f>'Order Form'!I16</f>
        <v>0</v>
      </c>
      <c r="H15">
        <f t="shared" si="0"/>
        <v>0</v>
      </c>
      <c r="I15">
        <f>'Order Form'!L16</f>
        <v>0</v>
      </c>
      <c r="J15">
        <f>'Order Form'!E16</f>
        <v>0</v>
      </c>
      <c r="K15">
        <f>'Order Form'!O16</f>
        <v>0</v>
      </c>
      <c r="L15">
        <f>'Order Form'!K16</f>
        <v>0</v>
      </c>
      <c r="M15">
        <f>'Order Form'!M16</f>
        <v>0</v>
      </c>
      <c r="N15">
        <f>'Order Form'!N16</f>
        <v>0</v>
      </c>
      <c r="O15">
        <f>'Order Form'!E30</f>
        <v>0</v>
      </c>
      <c r="P15">
        <f>'Order Form'!F30</f>
        <v>0</v>
      </c>
      <c r="Q15" s="72">
        <f>'Order Form'!G30</f>
        <v>0</v>
      </c>
      <c r="R15" s="72">
        <f>'Order Form'!H30</f>
        <v>0</v>
      </c>
      <c r="S15" s="72">
        <f>'Order Form'!I30</f>
        <v>0</v>
      </c>
      <c r="T15">
        <f>'Order Form'!D30</f>
        <v>0</v>
      </c>
      <c r="U15">
        <f>'Order Form'!J30</f>
        <v>0</v>
      </c>
      <c r="V15">
        <f>'Order Form'!K30</f>
        <v>0</v>
      </c>
    </row>
    <row r="16" spans="1:52" x14ac:dyDescent="0.2">
      <c r="A16" t="str">
        <f>'Order Form'!B17</f>
        <v>CB009</v>
      </c>
      <c r="B16">
        <f>'Order Form'!C17</f>
        <v>0</v>
      </c>
      <c r="C16">
        <f>'Order Form'!D17</f>
        <v>0</v>
      </c>
      <c r="D16">
        <f>'Order Form'!F17</f>
        <v>0</v>
      </c>
      <c r="E16">
        <f>'Order Form'!G17</f>
        <v>0</v>
      </c>
      <c r="F16">
        <f>'Order Form'!H17</f>
        <v>0</v>
      </c>
      <c r="G16">
        <f>'Order Form'!I17</f>
        <v>0</v>
      </c>
      <c r="H16">
        <f t="shared" si="0"/>
        <v>0</v>
      </c>
      <c r="I16">
        <f>'Order Form'!L17</f>
        <v>0</v>
      </c>
      <c r="J16">
        <f>'Order Form'!E17</f>
        <v>0</v>
      </c>
      <c r="K16">
        <f>'Order Form'!O17</f>
        <v>0</v>
      </c>
      <c r="L16">
        <f>'Order Form'!K17</f>
        <v>0</v>
      </c>
      <c r="M16">
        <f>'Order Form'!M17</f>
        <v>0</v>
      </c>
      <c r="N16">
        <f>'Order Form'!N17</f>
        <v>0</v>
      </c>
      <c r="O16">
        <f>'Order Form'!E31</f>
        <v>0</v>
      </c>
      <c r="P16">
        <f>'Order Form'!F31</f>
        <v>0</v>
      </c>
      <c r="Q16" s="72">
        <f>'Order Form'!G31</f>
        <v>0</v>
      </c>
      <c r="R16" s="72">
        <f>'Order Form'!H31</f>
        <v>0</v>
      </c>
      <c r="S16" s="72">
        <f>'Order Form'!I31</f>
        <v>0</v>
      </c>
      <c r="T16">
        <f>'Order Form'!D31</f>
        <v>0</v>
      </c>
      <c r="U16">
        <f>'Order Form'!J31</f>
        <v>0</v>
      </c>
      <c r="V16">
        <f>'Order Form'!K31</f>
        <v>0</v>
      </c>
    </row>
    <row r="17" spans="1:22" x14ac:dyDescent="0.2">
      <c r="A17" t="str">
        <f>'Order Form'!B18</f>
        <v>CB010</v>
      </c>
      <c r="B17">
        <f>'Order Form'!C18</f>
        <v>0</v>
      </c>
      <c r="C17">
        <f>'Order Form'!D18</f>
        <v>0</v>
      </c>
      <c r="D17">
        <f>'Order Form'!F18</f>
        <v>0</v>
      </c>
      <c r="E17">
        <f>'Order Form'!G18</f>
        <v>0</v>
      </c>
      <c r="F17">
        <f>'Order Form'!H18</f>
        <v>0</v>
      </c>
      <c r="G17">
        <f>'Order Form'!I18</f>
        <v>0</v>
      </c>
      <c r="H17">
        <f t="shared" si="0"/>
        <v>0</v>
      </c>
      <c r="I17">
        <f>'Order Form'!L18</f>
        <v>0</v>
      </c>
      <c r="J17">
        <f>'Order Form'!E18</f>
        <v>0</v>
      </c>
      <c r="K17">
        <f>'Order Form'!O18</f>
        <v>0</v>
      </c>
      <c r="L17">
        <f>'Order Form'!K18</f>
        <v>0</v>
      </c>
      <c r="M17">
        <f>'Order Form'!M18</f>
        <v>0</v>
      </c>
      <c r="N17">
        <f>'Order Form'!N18</f>
        <v>0</v>
      </c>
      <c r="O17">
        <f>'Order Form'!E32</f>
        <v>0</v>
      </c>
      <c r="P17">
        <f>'Order Form'!F32</f>
        <v>0</v>
      </c>
      <c r="Q17" s="72">
        <f>'Order Form'!G32</f>
        <v>0</v>
      </c>
      <c r="R17" s="72">
        <f>'Order Form'!H32</f>
        <v>0</v>
      </c>
      <c r="S17" s="72">
        <f>'Order Form'!I32</f>
        <v>0</v>
      </c>
      <c r="T17">
        <f>'Order Form'!D32</f>
        <v>0</v>
      </c>
      <c r="U17">
        <f>'Order Form'!J32</f>
        <v>0</v>
      </c>
      <c r="V17">
        <f>'Order Form'!K32</f>
        <v>0</v>
      </c>
    </row>
    <row r="18" spans="1:22" x14ac:dyDescent="0.2">
      <c r="A18" t="str">
        <f>'Order Form'!B19</f>
        <v>CB011</v>
      </c>
      <c r="B18">
        <f>'Order Form'!C19</f>
        <v>0</v>
      </c>
      <c r="C18">
        <f>'Order Form'!D19</f>
        <v>0</v>
      </c>
      <c r="D18">
        <f>'Order Form'!F19</f>
        <v>0</v>
      </c>
      <c r="E18">
        <f>'Order Form'!G19</f>
        <v>0</v>
      </c>
      <c r="F18">
        <f>'Order Form'!H19</f>
        <v>0</v>
      </c>
      <c r="G18">
        <f>'Order Form'!I19</f>
        <v>0</v>
      </c>
      <c r="H18">
        <f t="shared" si="0"/>
        <v>0</v>
      </c>
      <c r="I18">
        <f>'Order Form'!L19</f>
        <v>0</v>
      </c>
      <c r="J18">
        <f>'Order Form'!E19</f>
        <v>0</v>
      </c>
      <c r="K18">
        <f>'Order Form'!O19</f>
        <v>0</v>
      </c>
      <c r="L18">
        <f>'Order Form'!K19</f>
        <v>0</v>
      </c>
      <c r="M18">
        <f>'Order Form'!M19</f>
        <v>0</v>
      </c>
      <c r="N18">
        <f>'Order Form'!N19</f>
        <v>0</v>
      </c>
      <c r="O18">
        <f>'Order Form'!E33</f>
        <v>0</v>
      </c>
      <c r="P18">
        <f>'Order Form'!F33</f>
        <v>0</v>
      </c>
      <c r="Q18" s="72">
        <f>'Order Form'!G33</f>
        <v>0</v>
      </c>
      <c r="R18" s="72">
        <f>'Order Form'!H33</f>
        <v>0</v>
      </c>
      <c r="S18" s="72">
        <f>'Order Form'!I33</f>
        <v>0</v>
      </c>
      <c r="T18">
        <f>'Order Form'!D33</f>
        <v>0</v>
      </c>
      <c r="U18">
        <f>'Order Form'!J33</f>
        <v>0</v>
      </c>
      <c r="V18">
        <f>'Order Form'!K33</f>
        <v>0</v>
      </c>
    </row>
    <row r="19" spans="1:22" ht="13.5" thickBot="1" x14ac:dyDescent="0.25">
      <c r="H19" s="22">
        <f>SUM(H8:H18)</f>
        <v>1.0835999999999999</v>
      </c>
    </row>
    <row r="20" spans="1:22" ht="13.5" thickTop="1" x14ac:dyDescent="0.2"/>
    <row r="21" spans="1:22" x14ac:dyDescent="0.2">
      <c r="A21" s="3" t="s">
        <v>59</v>
      </c>
    </row>
    <row r="22" spans="1:22" ht="89.25" customHeight="1" x14ac:dyDescent="0.2">
      <c r="A22" s="2" t="s">
        <v>17</v>
      </c>
      <c r="B22" s="2" t="s">
        <v>0</v>
      </c>
      <c r="C22" s="2" t="s">
        <v>14</v>
      </c>
      <c r="D22" s="2" t="s">
        <v>18</v>
      </c>
      <c r="E22" s="2" t="s">
        <v>19</v>
      </c>
      <c r="F22" s="2" t="s">
        <v>15</v>
      </c>
      <c r="G22" s="2" t="s">
        <v>20</v>
      </c>
      <c r="H22" s="2" t="s">
        <v>10</v>
      </c>
      <c r="I22" s="2" t="s">
        <v>21</v>
      </c>
      <c r="J22" s="2" t="s">
        <v>22</v>
      </c>
      <c r="K22" s="2" t="s">
        <v>23</v>
      </c>
      <c r="L22" s="2" t="s">
        <v>24</v>
      </c>
      <c r="M22" s="2" t="s">
        <v>25</v>
      </c>
      <c r="N22" s="2" t="s">
        <v>1</v>
      </c>
      <c r="O22" s="2" t="s">
        <v>26</v>
      </c>
      <c r="P22" s="2" t="s">
        <v>27</v>
      </c>
      <c r="Q22" s="2" t="s">
        <v>200</v>
      </c>
      <c r="R22" s="167" t="s">
        <v>274</v>
      </c>
      <c r="S22" s="2" t="str">
        <f>IF(WoodType="Vogue","Swivel Brackets","Toggle Design")</f>
        <v>Toggle Design</v>
      </c>
      <c r="T22" s="2" t="s">
        <v>30</v>
      </c>
      <c r="U22" s="2" t="s">
        <v>31</v>
      </c>
      <c r="V22" s="2" t="s">
        <v>33</v>
      </c>
    </row>
    <row r="23" spans="1:22" x14ac:dyDescent="0.2">
      <c r="A23" t="str">
        <f>A8</f>
        <v>CB001</v>
      </c>
      <c r="C23">
        <f>C8</f>
        <v>1</v>
      </c>
      <c r="D23">
        <f t="shared" ref="D23:D33" ca="1" si="1">IF(D8&lt;&gt;0,VLOOKUP(D8,INDIRECT(Prefix &amp; "ColourPrices"),2,0),0)</f>
        <v>0</v>
      </c>
      <c r="F23">
        <f t="shared" ref="F23:F33" si="2">VLOOKUP(F8,WidthColumn,2,TRUE)</f>
        <v>3</v>
      </c>
      <c r="G23">
        <f t="shared" ref="G23:G33" si="3">VLOOKUP(G8,DropRow,2,TRUE)</f>
        <v>6</v>
      </c>
      <c r="H23">
        <f>IF(C8=0,0,H8/C8)</f>
        <v>1.0835999999999999</v>
      </c>
      <c r="J23">
        <f t="shared" ref="J23:J33" ca="1" si="4">IF(J8&lt;&gt;0,VLOOKUP(J8,INDIRECT(Prefix &amp; "SlatSizePrices"),2,FALSE),0)</f>
        <v>50</v>
      </c>
      <c r="K23" t="e">
        <f t="shared" ref="K23:K33" ca="1" si="5">IF(K8&lt;&gt;0,VLOOKUP(K8,INDIRECT(Prefix &amp; "RoutlessPrices"),2,0),0)</f>
        <v>#N/A</v>
      </c>
      <c r="L23" s="74">
        <f t="shared" ref="L23:L33" ca="1" si="6">IF(L8&lt;&gt;0,VLOOKUP(L8,INDIRECT(Prefix &amp; "LadderChoicePrices"),2,0),0)</f>
        <v>0</v>
      </c>
      <c r="Q23" s="74">
        <f>VLOOKUP('Price Calculations'!Q8,b_ValanceDesignPrices,2,FALSE)</f>
        <v>0</v>
      </c>
      <c r="R23" s="66">
        <f>IF(R8="Standard",0,IF((R8-F8)&gt;0,(R8-F8)/1000,0))</f>
        <v>0</v>
      </c>
      <c r="S23" s="66"/>
      <c r="U23">
        <f t="shared" ref="U23:U33" ca="1" si="7">IF(U8&lt;&gt;0,VLOOKUP(U8,INDIRECT(Prefix &amp; "CutoutsPrices"),2,0),0)</f>
        <v>0</v>
      </c>
      <c r="V23">
        <f t="shared" ref="V23:V33" ca="1" si="8">IF(V8&lt;&gt;0,VLOOKUP(V8,INDIRECT(Prefix &amp; "MultipleBlindsPrices"),2,0),0)</f>
        <v>0</v>
      </c>
    </row>
    <row r="24" spans="1:22" x14ac:dyDescent="0.2">
      <c r="A24" t="str">
        <f>A9</f>
        <v>CB002</v>
      </c>
      <c r="C24">
        <f t="shared" ref="C24:C33" si="9">C9</f>
        <v>0</v>
      </c>
      <c r="D24">
        <f t="shared" ca="1" si="1"/>
        <v>0</v>
      </c>
      <c r="F24" t="e">
        <f t="shared" si="2"/>
        <v>#N/A</v>
      </c>
      <c r="G24" t="e">
        <f t="shared" si="3"/>
        <v>#N/A</v>
      </c>
      <c r="H24">
        <f t="shared" ref="H24:H33" si="10">IF(C9=0,0,H9/C9)</f>
        <v>0</v>
      </c>
      <c r="J24">
        <f t="shared" ca="1" si="4"/>
        <v>0</v>
      </c>
      <c r="K24">
        <f t="shared" ca="1" si="5"/>
        <v>0</v>
      </c>
      <c r="L24" s="74">
        <f t="shared" ca="1" si="6"/>
        <v>0</v>
      </c>
      <c r="Q24" s="74" t="e">
        <f>VLOOKUP('Price Calculations'!Q9,b_ValanceDesignPrices,2,FALSE)</f>
        <v>#N/A</v>
      </c>
      <c r="R24" s="66">
        <f t="shared" ref="R24:R33" si="11">IF(R9="Standard",0,IF((R9-F9)&gt;0,(R9-F9)/1000,0))</f>
        <v>0</v>
      </c>
      <c r="S24" s="66"/>
      <c r="U24">
        <f t="shared" ca="1" si="7"/>
        <v>0</v>
      </c>
      <c r="V24">
        <f t="shared" ca="1" si="8"/>
        <v>0</v>
      </c>
    </row>
    <row r="25" spans="1:22" x14ac:dyDescent="0.2">
      <c r="A25" t="str">
        <f>A10</f>
        <v>CB003</v>
      </c>
      <c r="C25">
        <f t="shared" si="9"/>
        <v>0</v>
      </c>
      <c r="D25">
        <f t="shared" ca="1" si="1"/>
        <v>0</v>
      </c>
      <c r="F25" t="e">
        <f t="shared" si="2"/>
        <v>#N/A</v>
      </c>
      <c r="G25" t="e">
        <f t="shared" si="3"/>
        <v>#N/A</v>
      </c>
      <c r="H25">
        <f t="shared" si="10"/>
        <v>0</v>
      </c>
      <c r="J25">
        <f t="shared" ca="1" si="4"/>
        <v>0</v>
      </c>
      <c r="K25">
        <f t="shared" ca="1" si="5"/>
        <v>0</v>
      </c>
      <c r="L25" s="74">
        <f t="shared" ca="1" si="6"/>
        <v>0</v>
      </c>
      <c r="Q25" s="74" t="e">
        <f>VLOOKUP('Price Calculations'!Q10,b_ValanceDesignPrices,2,FALSE)</f>
        <v>#N/A</v>
      </c>
      <c r="R25" s="66">
        <f t="shared" si="11"/>
        <v>0</v>
      </c>
      <c r="S25" s="66"/>
      <c r="U25">
        <f t="shared" ca="1" si="7"/>
        <v>0</v>
      </c>
      <c r="V25">
        <f t="shared" ca="1" si="8"/>
        <v>0</v>
      </c>
    </row>
    <row r="26" spans="1:22" x14ac:dyDescent="0.2">
      <c r="A26" t="str">
        <f>A11</f>
        <v>CB004</v>
      </c>
      <c r="C26">
        <f t="shared" si="9"/>
        <v>0</v>
      </c>
      <c r="D26">
        <f t="shared" ca="1" si="1"/>
        <v>0</v>
      </c>
      <c r="F26" t="e">
        <f t="shared" si="2"/>
        <v>#N/A</v>
      </c>
      <c r="G26" t="e">
        <f t="shared" si="3"/>
        <v>#N/A</v>
      </c>
      <c r="H26">
        <f t="shared" si="10"/>
        <v>0</v>
      </c>
      <c r="J26">
        <f t="shared" ca="1" si="4"/>
        <v>0</v>
      </c>
      <c r="K26">
        <f t="shared" ca="1" si="5"/>
        <v>0</v>
      </c>
      <c r="L26" s="74">
        <f t="shared" ca="1" si="6"/>
        <v>0</v>
      </c>
      <c r="Q26" s="74" t="e">
        <f>VLOOKUP('Price Calculations'!Q11,b_ValanceDesignPrices,2,FALSE)</f>
        <v>#N/A</v>
      </c>
      <c r="R26" s="66">
        <f t="shared" si="11"/>
        <v>0</v>
      </c>
      <c r="S26" s="66"/>
      <c r="U26">
        <f t="shared" ca="1" si="7"/>
        <v>0</v>
      </c>
      <c r="V26">
        <f t="shared" ca="1" si="8"/>
        <v>0</v>
      </c>
    </row>
    <row r="27" spans="1:22" x14ac:dyDescent="0.2">
      <c r="A27" t="str">
        <f t="shared" ref="A27:A33" si="12">A12</f>
        <v>CB005</v>
      </c>
      <c r="C27">
        <f t="shared" si="9"/>
        <v>0</v>
      </c>
      <c r="D27">
        <f t="shared" ca="1" si="1"/>
        <v>0</v>
      </c>
      <c r="F27" t="e">
        <f t="shared" si="2"/>
        <v>#N/A</v>
      </c>
      <c r="G27" t="e">
        <f t="shared" si="3"/>
        <v>#N/A</v>
      </c>
      <c r="H27">
        <f t="shared" si="10"/>
        <v>0</v>
      </c>
      <c r="J27">
        <f t="shared" ca="1" si="4"/>
        <v>0</v>
      </c>
      <c r="K27">
        <f t="shared" ca="1" si="5"/>
        <v>0</v>
      </c>
      <c r="L27" s="74">
        <f t="shared" ca="1" si="6"/>
        <v>0</v>
      </c>
      <c r="Q27" s="74" t="e">
        <f>VLOOKUP('Price Calculations'!Q12,b_ValanceDesignPrices,2,FALSE)</f>
        <v>#N/A</v>
      </c>
      <c r="R27" s="66">
        <f t="shared" si="11"/>
        <v>0</v>
      </c>
      <c r="S27" s="66"/>
      <c r="U27">
        <f t="shared" ca="1" si="7"/>
        <v>0</v>
      </c>
      <c r="V27">
        <f t="shared" ca="1" si="8"/>
        <v>0</v>
      </c>
    </row>
    <row r="28" spans="1:22" x14ac:dyDescent="0.2">
      <c r="A28" t="str">
        <f t="shared" si="12"/>
        <v>CB006</v>
      </c>
      <c r="C28">
        <f t="shared" si="9"/>
        <v>0</v>
      </c>
      <c r="D28">
        <f t="shared" ca="1" si="1"/>
        <v>0</v>
      </c>
      <c r="F28" t="e">
        <f t="shared" si="2"/>
        <v>#N/A</v>
      </c>
      <c r="G28" t="e">
        <f t="shared" si="3"/>
        <v>#N/A</v>
      </c>
      <c r="H28">
        <f t="shared" si="10"/>
        <v>0</v>
      </c>
      <c r="J28">
        <f t="shared" ca="1" si="4"/>
        <v>0</v>
      </c>
      <c r="K28">
        <f t="shared" ca="1" si="5"/>
        <v>0</v>
      </c>
      <c r="L28" s="74">
        <f t="shared" ca="1" si="6"/>
        <v>0</v>
      </c>
      <c r="Q28" s="74" t="e">
        <f>VLOOKUP('Price Calculations'!Q13,b_ValanceDesignPrices,2,FALSE)</f>
        <v>#N/A</v>
      </c>
      <c r="R28" s="66">
        <f t="shared" si="11"/>
        <v>0</v>
      </c>
      <c r="S28" s="66"/>
      <c r="U28">
        <f t="shared" ca="1" si="7"/>
        <v>0</v>
      </c>
      <c r="V28">
        <f t="shared" ca="1" si="8"/>
        <v>0</v>
      </c>
    </row>
    <row r="29" spans="1:22" x14ac:dyDescent="0.2">
      <c r="A29" t="str">
        <f t="shared" si="12"/>
        <v>CB007</v>
      </c>
      <c r="C29">
        <f t="shared" si="9"/>
        <v>0</v>
      </c>
      <c r="D29">
        <f t="shared" ca="1" si="1"/>
        <v>0</v>
      </c>
      <c r="F29" t="e">
        <f t="shared" si="2"/>
        <v>#N/A</v>
      </c>
      <c r="G29" t="e">
        <f t="shared" si="3"/>
        <v>#N/A</v>
      </c>
      <c r="H29">
        <f t="shared" si="10"/>
        <v>0</v>
      </c>
      <c r="J29">
        <f t="shared" ca="1" si="4"/>
        <v>0</v>
      </c>
      <c r="K29">
        <f t="shared" ca="1" si="5"/>
        <v>0</v>
      </c>
      <c r="L29" s="74">
        <f t="shared" ca="1" si="6"/>
        <v>0</v>
      </c>
      <c r="Q29" s="74" t="e">
        <f>VLOOKUP('Price Calculations'!Q14,b_ValanceDesignPrices,2,FALSE)</f>
        <v>#N/A</v>
      </c>
      <c r="R29" s="66">
        <f t="shared" si="11"/>
        <v>0</v>
      </c>
      <c r="S29" s="66"/>
      <c r="U29">
        <f t="shared" ca="1" si="7"/>
        <v>0</v>
      </c>
      <c r="V29">
        <f t="shared" ca="1" si="8"/>
        <v>0</v>
      </c>
    </row>
    <row r="30" spans="1:22" x14ac:dyDescent="0.2">
      <c r="A30" t="str">
        <f t="shared" si="12"/>
        <v>CB008</v>
      </c>
      <c r="C30">
        <f t="shared" si="9"/>
        <v>0</v>
      </c>
      <c r="D30">
        <f t="shared" ca="1" si="1"/>
        <v>0</v>
      </c>
      <c r="F30" t="e">
        <f t="shared" si="2"/>
        <v>#N/A</v>
      </c>
      <c r="G30" t="e">
        <f t="shared" si="3"/>
        <v>#N/A</v>
      </c>
      <c r="H30">
        <f t="shared" si="10"/>
        <v>0</v>
      </c>
      <c r="J30">
        <f t="shared" ca="1" si="4"/>
        <v>0</v>
      </c>
      <c r="K30">
        <f t="shared" ca="1" si="5"/>
        <v>0</v>
      </c>
      <c r="L30" s="74">
        <f t="shared" ca="1" si="6"/>
        <v>0</v>
      </c>
      <c r="Q30" s="74" t="e">
        <f>VLOOKUP('Price Calculations'!Q15,b_ValanceDesignPrices,2,FALSE)</f>
        <v>#N/A</v>
      </c>
      <c r="R30" s="66">
        <f t="shared" si="11"/>
        <v>0</v>
      </c>
      <c r="S30" s="66"/>
      <c r="U30">
        <f t="shared" ca="1" si="7"/>
        <v>0</v>
      </c>
      <c r="V30">
        <f t="shared" ca="1" si="8"/>
        <v>0</v>
      </c>
    </row>
    <row r="31" spans="1:22" x14ac:dyDescent="0.2">
      <c r="A31" t="str">
        <f t="shared" si="12"/>
        <v>CB009</v>
      </c>
      <c r="C31">
        <f t="shared" si="9"/>
        <v>0</v>
      </c>
      <c r="D31">
        <f t="shared" ca="1" si="1"/>
        <v>0</v>
      </c>
      <c r="F31" t="e">
        <f t="shared" si="2"/>
        <v>#N/A</v>
      </c>
      <c r="G31" t="e">
        <f t="shared" si="3"/>
        <v>#N/A</v>
      </c>
      <c r="H31">
        <f t="shared" si="10"/>
        <v>0</v>
      </c>
      <c r="J31">
        <f t="shared" ca="1" si="4"/>
        <v>0</v>
      </c>
      <c r="K31">
        <f t="shared" ca="1" si="5"/>
        <v>0</v>
      </c>
      <c r="L31" s="74">
        <f t="shared" ca="1" si="6"/>
        <v>0</v>
      </c>
      <c r="Q31" s="74" t="e">
        <f>VLOOKUP('Price Calculations'!Q16,b_ValanceDesignPrices,2,FALSE)</f>
        <v>#N/A</v>
      </c>
      <c r="R31" s="66">
        <f t="shared" si="11"/>
        <v>0</v>
      </c>
      <c r="S31" s="66"/>
      <c r="U31">
        <f t="shared" ca="1" si="7"/>
        <v>0</v>
      </c>
      <c r="V31">
        <f t="shared" ca="1" si="8"/>
        <v>0</v>
      </c>
    </row>
    <row r="32" spans="1:22" x14ac:dyDescent="0.2">
      <c r="A32" t="str">
        <f t="shared" si="12"/>
        <v>CB010</v>
      </c>
      <c r="C32">
        <f t="shared" si="9"/>
        <v>0</v>
      </c>
      <c r="D32">
        <f t="shared" ca="1" si="1"/>
        <v>0</v>
      </c>
      <c r="F32" t="e">
        <f t="shared" si="2"/>
        <v>#N/A</v>
      </c>
      <c r="G32" t="e">
        <f t="shared" si="3"/>
        <v>#N/A</v>
      </c>
      <c r="H32">
        <f t="shared" si="10"/>
        <v>0</v>
      </c>
      <c r="J32">
        <f t="shared" ca="1" si="4"/>
        <v>0</v>
      </c>
      <c r="K32">
        <f t="shared" ca="1" si="5"/>
        <v>0</v>
      </c>
      <c r="L32" s="74">
        <f t="shared" ca="1" si="6"/>
        <v>0</v>
      </c>
      <c r="Q32" s="74" t="e">
        <f>VLOOKUP('Price Calculations'!Q17,b_ValanceDesignPrices,2,FALSE)</f>
        <v>#N/A</v>
      </c>
      <c r="R32" s="66">
        <f t="shared" si="11"/>
        <v>0</v>
      </c>
      <c r="S32" s="66"/>
      <c r="U32">
        <f t="shared" ca="1" si="7"/>
        <v>0</v>
      </c>
      <c r="V32">
        <f t="shared" ca="1" si="8"/>
        <v>0</v>
      </c>
    </row>
    <row r="33" spans="1:29" x14ac:dyDescent="0.2">
      <c r="A33" t="str">
        <f t="shared" si="12"/>
        <v>CB011</v>
      </c>
      <c r="C33">
        <f t="shared" si="9"/>
        <v>0</v>
      </c>
      <c r="D33">
        <f t="shared" ca="1" si="1"/>
        <v>0</v>
      </c>
      <c r="F33" t="e">
        <f t="shared" si="2"/>
        <v>#N/A</v>
      </c>
      <c r="G33" t="e">
        <f t="shared" si="3"/>
        <v>#N/A</v>
      </c>
      <c r="H33">
        <f t="shared" si="10"/>
        <v>0</v>
      </c>
      <c r="J33">
        <f t="shared" ca="1" si="4"/>
        <v>0</v>
      </c>
      <c r="K33">
        <f t="shared" ca="1" si="5"/>
        <v>0</v>
      </c>
      <c r="L33" s="74">
        <f t="shared" ca="1" si="6"/>
        <v>0</v>
      </c>
      <c r="Q33" s="74" t="e">
        <f>VLOOKUP('Price Calculations'!Q18,b_ValanceDesignPrices,2,FALSE)</f>
        <v>#N/A</v>
      </c>
      <c r="R33" s="66">
        <f t="shared" si="11"/>
        <v>0</v>
      </c>
      <c r="S33" s="66"/>
      <c r="U33">
        <f t="shared" ca="1" si="7"/>
        <v>0</v>
      </c>
      <c r="V33">
        <f t="shared" ca="1" si="8"/>
        <v>0</v>
      </c>
    </row>
    <row r="36" spans="1:29" x14ac:dyDescent="0.2">
      <c r="A36" s="3" t="s">
        <v>60</v>
      </c>
    </row>
    <row r="37" spans="1:29" ht="113.25" customHeight="1" x14ac:dyDescent="0.2">
      <c r="A37" s="2" t="s">
        <v>17</v>
      </c>
      <c r="B37" s="2" t="s">
        <v>0</v>
      </c>
      <c r="C37" s="2" t="s">
        <v>14</v>
      </c>
      <c r="D37" s="2" t="s">
        <v>18</v>
      </c>
      <c r="E37" s="2" t="s">
        <v>19</v>
      </c>
      <c r="F37" s="2"/>
      <c r="G37" s="2" t="s">
        <v>197</v>
      </c>
      <c r="H37" s="140" t="s">
        <v>263</v>
      </c>
      <c r="I37" s="2" t="s">
        <v>21</v>
      </c>
      <c r="J37" s="2" t="s">
        <v>22</v>
      </c>
      <c r="K37" s="2" t="s">
        <v>23</v>
      </c>
      <c r="L37" s="2" t="s">
        <v>24</v>
      </c>
      <c r="M37" s="2" t="s">
        <v>25</v>
      </c>
      <c r="N37" s="2" t="s">
        <v>1</v>
      </c>
      <c r="O37" s="2" t="s">
        <v>26</v>
      </c>
      <c r="P37" s="2" t="s">
        <v>27</v>
      </c>
      <c r="Q37" s="2" t="s">
        <v>200</v>
      </c>
      <c r="R37" s="167" t="s">
        <v>272</v>
      </c>
      <c r="S37" s="2" t="str">
        <f>IF(WoodType="Vogue","Extension Brackets","Toggle Design")</f>
        <v>Toggle Design</v>
      </c>
      <c r="T37" s="2" t="s">
        <v>30</v>
      </c>
      <c r="U37" s="2" t="s">
        <v>31</v>
      </c>
      <c r="V37" s="2" t="s">
        <v>33</v>
      </c>
      <c r="W37" s="2" t="s">
        <v>7</v>
      </c>
      <c r="X37" s="2" t="s">
        <v>233</v>
      </c>
      <c r="Y37" s="2" t="s">
        <v>234</v>
      </c>
      <c r="Z37" s="21" t="s">
        <v>86</v>
      </c>
      <c r="AA37" s="2" t="s">
        <v>8</v>
      </c>
      <c r="AB37" s="21" t="s">
        <v>264</v>
      </c>
      <c r="AC37" s="23" t="s">
        <v>87</v>
      </c>
    </row>
    <row r="38" spans="1:29" x14ac:dyDescent="0.2">
      <c r="A38" t="str">
        <f>A23</f>
        <v>CB001</v>
      </c>
      <c r="C38">
        <f>C8</f>
        <v>1</v>
      </c>
      <c r="D38">
        <f ca="1">IF(D23="POA","POA",D23)</f>
        <v>0</v>
      </c>
      <c r="H38">
        <f t="shared" ref="H38:H48" ca="1" si="13">IF(ISERROR(INDEX(INDIRECT(Brand &amp; J23 &amp; "prices"),G23,F23)),0,INDEX(INDIRECT(Brand &amp; J23 &amp; "prices"),G23,F23))</f>
        <v>101.56</v>
      </c>
      <c r="L38">
        <f ca="1">L23*H38</f>
        <v>0</v>
      </c>
      <c r="Q38">
        <f ca="1">IF(ISNA(Q23),0,Q23*H38)</f>
        <v>0</v>
      </c>
      <c r="R38">
        <f>ROUND(R23*19.25,2)</f>
        <v>0</v>
      </c>
      <c r="U38">
        <f t="shared" ref="U38:V48" ca="1" si="14">U23</f>
        <v>0</v>
      </c>
      <c r="V38">
        <f t="shared" ca="1" si="14"/>
        <v>0</v>
      </c>
      <c r="W38">
        <f t="shared" ref="W38:W48" ca="1" si="15">IF(D38="POA","POA",IF(C8&gt;0,SUM(D38:V38),0))</f>
        <v>101.56</v>
      </c>
      <c r="X38" s="63">
        <f ca="1">D38</f>
        <v>0</v>
      </c>
      <c r="Y38">
        <f ca="1">SUM(E38:V38)</f>
        <v>101.56</v>
      </c>
      <c r="Z38">
        <f ca="1">IF(W38="POA","POA",X38+(Y38*(1-$B$1)))</f>
        <v>71.091999999999999</v>
      </c>
      <c r="AA38">
        <f ca="1">IF(W38="POA","POA",ROUND(Z38*C8,2))</f>
        <v>71.09</v>
      </c>
      <c r="AB38">
        <f ca="1">W38*C8</f>
        <v>101.56</v>
      </c>
    </row>
    <row r="39" spans="1:29" x14ac:dyDescent="0.2">
      <c r="A39" t="str">
        <f>A24</f>
        <v>CB002</v>
      </c>
      <c r="C39">
        <f t="shared" ref="C39:C48" si="16">C9</f>
        <v>0</v>
      </c>
      <c r="D39">
        <f t="shared" ref="D39:D48" ca="1" si="17">IF(D24="POA","POA",D24)</f>
        <v>0</v>
      </c>
      <c r="H39">
        <f t="shared" ca="1" si="13"/>
        <v>0</v>
      </c>
      <c r="L39">
        <f t="shared" ref="L39:L48" ca="1" si="18">L24*H39</f>
        <v>0</v>
      </c>
      <c r="Q39">
        <f t="shared" ref="Q39:Q48" si="19">IF(ISNA(Q24),0,Q24*H39)</f>
        <v>0</v>
      </c>
      <c r="R39">
        <f t="shared" ref="R39:R48" si="20">ROUND(R24*19.25,2)</f>
        <v>0</v>
      </c>
      <c r="U39">
        <f t="shared" ca="1" si="14"/>
        <v>0</v>
      </c>
      <c r="V39">
        <f t="shared" ca="1" si="14"/>
        <v>0</v>
      </c>
      <c r="W39">
        <f t="shared" ca="1" si="15"/>
        <v>0</v>
      </c>
      <c r="X39" s="63">
        <f t="shared" ref="X39:X48" ca="1" si="21">D39</f>
        <v>0</v>
      </c>
      <c r="Y39">
        <f t="shared" ref="Y39:Y48" ca="1" si="22">SUM(E39:V39)</f>
        <v>0</v>
      </c>
      <c r="Z39">
        <f t="shared" ref="Z39:Z48" ca="1" si="23">IF(W39="POA","POA",X39+(Y39*(1-$B$1)))</f>
        <v>0</v>
      </c>
      <c r="AA39">
        <f t="shared" ref="AA39:AA48" ca="1" si="24">IF(W39="POA","POA",Z39*C9)</f>
        <v>0</v>
      </c>
      <c r="AB39">
        <f t="shared" ref="AB39:AB48" ca="1" si="25">W39*C9</f>
        <v>0</v>
      </c>
    </row>
    <row r="40" spans="1:29" x14ac:dyDescent="0.2">
      <c r="A40" t="str">
        <f>A25</f>
        <v>CB003</v>
      </c>
      <c r="C40">
        <f t="shared" si="16"/>
        <v>0</v>
      </c>
      <c r="D40">
        <f t="shared" ca="1" si="17"/>
        <v>0</v>
      </c>
      <c r="H40">
        <f t="shared" ca="1" si="13"/>
        <v>0</v>
      </c>
      <c r="L40">
        <f t="shared" ca="1" si="18"/>
        <v>0</v>
      </c>
      <c r="Q40">
        <f t="shared" si="19"/>
        <v>0</v>
      </c>
      <c r="R40">
        <f t="shared" si="20"/>
        <v>0</v>
      </c>
      <c r="U40">
        <f t="shared" ca="1" si="14"/>
        <v>0</v>
      </c>
      <c r="V40">
        <f t="shared" ca="1" si="14"/>
        <v>0</v>
      </c>
      <c r="W40">
        <f t="shared" ca="1" si="15"/>
        <v>0</v>
      </c>
      <c r="X40" s="63">
        <f t="shared" ca="1" si="21"/>
        <v>0</v>
      </c>
      <c r="Y40">
        <f t="shared" ca="1" si="22"/>
        <v>0</v>
      </c>
      <c r="Z40">
        <f t="shared" ca="1" si="23"/>
        <v>0</v>
      </c>
      <c r="AA40">
        <f t="shared" ca="1" si="24"/>
        <v>0</v>
      </c>
      <c r="AB40">
        <f t="shared" ca="1" si="25"/>
        <v>0</v>
      </c>
    </row>
    <row r="41" spans="1:29" x14ac:dyDescent="0.2">
      <c r="A41" t="str">
        <f>A26</f>
        <v>CB004</v>
      </c>
      <c r="C41">
        <f t="shared" si="16"/>
        <v>0</v>
      </c>
      <c r="D41">
        <f t="shared" ca="1" si="17"/>
        <v>0</v>
      </c>
      <c r="H41">
        <f t="shared" ca="1" si="13"/>
        <v>0</v>
      </c>
      <c r="L41">
        <f t="shared" ca="1" si="18"/>
        <v>0</v>
      </c>
      <c r="Q41">
        <f t="shared" si="19"/>
        <v>0</v>
      </c>
      <c r="R41">
        <f t="shared" si="20"/>
        <v>0</v>
      </c>
      <c r="U41">
        <f t="shared" ca="1" si="14"/>
        <v>0</v>
      </c>
      <c r="V41">
        <f t="shared" ca="1" si="14"/>
        <v>0</v>
      </c>
      <c r="W41">
        <f t="shared" ca="1" si="15"/>
        <v>0</v>
      </c>
      <c r="X41" s="63">
        <f t="shared" ca="1" si="21"/>
        <v>0</v>
      </c>
      <c r="Y41">
        <f t="shared" ca="1" si="22"/>
        <v>0</v>
      </c>
      <c r="Z41">
        <f t="shared" ca="1" si="23"/>
        <v>0</v>
      </c>
      <c r="AA41">
        <f t="shared" ca="1" si="24"/>
        <v>0</v>
      </c>
      <c r="AB41">
        <f t="shared" ca="1" si="25"/>
        <v>0</v>
      </c>
    </row>
    <row r="42" spans="1:29" x14ac:dyDescent="0.2">
      <c r="A42" t="str">
        <f t="shared" ref="A42:A48" si="26">A27</f>
        <v>CB005</v>
      </c>
      <c r="C42">
        <f t="shared" si="16"/>
        <v>0</v>
      </c>
      <c r="D42">
        <f t="shared" ca="1" si="17"/>
        <v>0</v>
      </c>
      <c r="H42">
        <f t="shared" ca="1" si="13"/>
        <v>0</v>
      </c>
      <c r="L42">
        <f t="shared" ca="1" si="18"/>
        <v>0</v>
      </c>
      <c r="Q42">
        <f t="shared" si="19"/>
        <v>0</v>
      </c>
      <c r="R42">
        <f t="shared" si="20"/>
        <v>0</v>
      </c>
      <c r="U42">
        <f t="shared" ca="1" si="14"/>
        <v>0</v>
      </c>
      <c r="V42">
        <f t="shared" ca="1" si="14"/>
        <v>0</v>
      </c>
      <c r="W42">
        <f t="shared" ca="1" si="15"/>
        <v>0</v>
      </c>
      <c r="X42" s="63">
        <f t="shared" ca="1" si="21"/>
        <v>0</v>
      </c>
      <c r="Y42">
        <f t="shared" ca="1" si="22"/>
        <v>0</v>
      </c>
      <c r="Z42">
        <f t="shared" ca="1" si="23"/>
        <v>0</v>
      </c>
      <c r="AA42">
        <f t="shared" ca="1" si="24"/>
        <v>0</v>
      </c>
      <c r="AB42">
        <f t="shared" ca="1" si="25"/>
        <v>0</v>
      </c>
    </row>
    <row r="43" spans="1:29" x14ac:dyDescent="0.2">
      <c r="A43" t="str">
        <f t="shared" si="26"/>
        <v>CB006</v>
      </c>
      <c r="C43">
        <f t="shared" si="16"/>
        <v>0</v>
      </c>
      <c r="D43">
        <f t="shared" ca="1" si="17"/>
        <v>0</v>
      </c>
      <c r="H43">
        <f t="shared" ca="1" si="13"/>
        <v>0</v>
      </c>
      <c r="L43">
        <f t="shared" ca="1" si="18"/>
        <v>0</v>
      </c>
      <c r="Q43">
        <f t="shared" si="19"/>
        <v>0</v>
      </c>
      <c r="R43">
        <f t="shared" si="20"/>
        <v>0</v>
      </c>
      <c r="U43">
        <f t="shared" ca="1" si="14"/>
        <v>0</v>
      </c>
      <c r="V43">
        <f t="shared" ca="1" si="14"/>
        <v>0</v>
      </c>
      <c r="W43">
        <f t="shared" ca="1" si="15"/>
        <v>0</v>
      </c>
      <c r="X43" s="63">
        <f t="shared" ca="1" si="21"/>
        <v>0</v>
      </c>
      <c r="Y43">
        <f t="shared" ca="1" si="22"/>
        <v>0</v>
      </c>
      <c r="Z43">
        <f t="shared" ca="1" si="23"/>
        <v>0</v>
      </c>
      <c r="AA43">
        <f t="shared" ca="1" si="24"/>
        <v>0</v>
      </c>
      <c r="AB43">
        <f t="shared" ca="1" si="25"/>
        <v>0</v>
      </c>
    </row>
    <row r="44" spans="1:29" x14ac:dyDescent="0.2">
      <c r="A44" t="str">
        <f t="shared" si="26"/>
        <v>CB007</v>
      </c>
      <c r="C44">
        <f t="shared" si="16"/>
        <v>0</v>
      </c>
      <c r="D44">
        <f t="shared" ca="1" si="17"/>
        <v>0</v>
      </c>
      <c r="H44">
        <f t="shared" ca="1" si="13"/>
        <v>0</v>
      </c>
      <c r="L44">
        <f t="shared" ca="1" si="18"/>
        <v>0</v>
      </c>
      <c r="Q44">
        <f t="shared" si="19"/>
        <v>0</v>
      </c>
      <c r="R44">
        <f t="shared" si="20"/>
        <v>0</v>
      </c>
      <c r="U44">
        <f t="shared" ca="1" si="14"/>
        <v>0</v>
      </c>
      <c r="V44">
        <f t="shared" ca="1" si="14"/>
        <v>0</v>
      </c>
      <c r="W44">
        <f t="shared" ca="1" si="15"/>
        <v>0</v>
      </c>
      <c r="X44" s="63">
        <f t="shared" ca="1" si="21"/>
        <v>0</v>
      </c>
      <c r="Y44">
        <f t="shared" ca="1" si="22"/>
        <v>0</v>
      </c>
      <c r="Z44">
        <f t="shared" ca="1" si="23"/>
        <v>0</v>
      </c>
      <c r="AA44">
        <f t="shared" ca="1" si="24"/>
        <v>0</v>
      </c>
      <c r="AB44">
        <f t="shared" ca="1" si="25"/>
        <v>0</v>
      </c>
    </row>
    <row r="45" spans="1:29" x14ac:dyDescent="0.2">
      <c r="A45" t="str">
        <f t="shared" si="26"/>
        <v>CB008</v>
      </c>
      <c r="C45">
        <f t="shared" si="16"/>
        <v>0</v>
      </c>
      <c r="D45">
        <f t="shared" ca="1" si="17"/>
        <v>0</v>
      </c>
      <c r="H45">
        <f t="shared" ca="1" si="13"/>
        <v>0</v>
      </c>
      <c r="L45">
        <f t="shared" ca="1" si="18"/>
        <v>0</v>
      </c>
      <c r="Q45">
        <f t="shared" si="19"/>
        <v>0</v>
      </c>
      <c r="R45">
        <f t="shared" si="20"/>
        <v>0</v>
      </c>
      <c r="U45">
        <f t="shared" ca="1" si="14"/>
        <v>0</v>
      </c>
      <c r="V45">
        <f t="shared" ca="1" si="14"/>
        <v>0</v>
      </c>
      <c r="W45">
        <f t="shared" ca="1" si="15"/>
        <v>0</v>
      </c>
      <c r="X45" s="63">
        <f t="shared" ca="1" si="21"/>
        <v>0</v>
      </c>
      <c r="Y45">
        <f t="shared" ca="1" si="22"/>
        <v>0</v>
      </c>
      <c r="Z45">
        <f t="shared" ca="1" si="23"/>
        <v>0</v>
      </c>
      <c r="AA45">
        <f t="shared" ca="1" si="24"/>
        <v>0</v>
      </c>
      <c r="AB45">
        <f t="shared" ca="1" si="25"/>
        <v>0</v>
      </c>
    </row>
    <row r="46" spans="1:29" x14ac:dyDescent="0.2">
      <c r="A46" t="str">
        <f t="shared" si="26"/>
        <v>CB009</v>
      </c>
      <c r="C46">
        <f t="shared" si="16"/>
        <v>0</v>
      </c>
      <c r="D46">
        <f t="shared" ca="1" si="17"/>
        <v>0</v>
      </c>
      <c r="H46">
        <f t="shared" ca="1" si="13"/>
        <v>0</v>
      </c>
      <c r="L46">
        <f t="shared" ca="1" si="18"/>
        <v>0</v>
      </c>
      <c r="Q46">
        <f t="shared" si="19"/>
        <v>0</v>
      </c>
      <c r="R46">
        <f t="shared" si="20"/>
        <v>0</v>
      </c>
      <c r="U46">
        <f t="shared" ca="1" si="14"/>
        <v>0</v>
      </c>
      <c r="V46">
        <f t="shared" ca="1" si="14"/>
        <v>0</v>
      </c>
      <c r="W46">
        <f t="shared" ca="1" si="15"/>
        <v>0</v>
      </c>
      <c r="X46" s="63">
        <f t="shared" ca="1" si="21"/>
        <v>0</v>
      </c>
      <c r="Y46">
        <f t="shared" ca="1" si="22"/>
        <v>0</v>
      </c>
      <c r="Z46">
        <f t="shared" ca="1" si="23"/>
        <v>0</v>
      </c>
      <c r="AA46">
        <f t="shared" ca="1" si="24"/>
        <v>0</v>
      </c>
      <c r="AB46">
        <f t="shared" ca="1" si="25"/>
        <v>0</v>
      </c>
    </row>
    <row r="47" spans="1:29" x14ac:dyDescent="0.2">
      <c r="A47" t="str">
        <f t="shared" si="26"/>
        <v>CB010</v>
      </c>
      <c r="C47">
        <f t="shared" si="16"/>
        <v>0</v>
      </c>
      <c r="D47">
        <f t="shared" ca="1" si="17"/>
        <v>0</v>
      </c>
      <c r="H47">
        <f t="shared" ca="1" si="13"/>
        <v>0</v>
      </c>
      <c r="L47">
        <f t="shared" ca="1" si="18"/>
        <v>0</v>
      </c>
      <c r="Q47">
        <f t="shared" si="19"/>
        <v>0</v>
      </c>
      <c r="R47">
        <f t="shared" si="20"/>
        <v>0</v>
      </c>
      <c r="U47">
        <f t="shared" ca="1" si="14"/>
        <v>0</v>
      </c>
      <c r="V47">
        <f t="shared" ca="1" si="14"/>
        <v>0</v>
      </c>
      <c r="W47">
        <f t="shared" ca="1" si="15"/>
        <v>0</v>
      </c>
      <c r="X47" s="63">
        <f t="shared" ca="1" si="21"/>
        <v>0</v>
      </c>
      <c r="Y47">
        <f t="shared" ca="1" si="22"/>
        <v>0</v>
      </c>
      <c r="Z47">
        <f t="shared" ca="1" si="23"/>
        <v>0</v>
      </c>
      <c r="AA47">
        <f t="shared" ca="1" si="24"/>
        <v>0</v>
      </c>
      <c r="AB47">
        <f t="shared" ca="1" si="25"/>
        <v>0</v>
      </c>
    </row>
    <row r="48" spans="1:29" x14ac:dyDescent="0.2">
      <c r="A48" t="str">
        <f t="shared" si="26"/>
        <v>CB011</v>
      </c>
      <c r="C48">
        <f t="shared" si="16"/>
        <v>0</v>
      </c>
      <c r="D48">
        <f t="shared" ca="1" si="17"/>
        <v>0</v>
      </c>
      <c r="H48">
        <f t="shared" ca="1" si="13"/>
        <v>0</v>
      </c>
      <c r="L48">
        <f t="shared" ca="1" si="18"/>
        <v>0</v>
      </c>
      <c r="Q48">
        <f t="shared" si="19"/>
        <v>0</v>
      </c>
      <c r="R48">
        <f t="shared" si="20"/>
        <v>0</v>
      </c>
      <c r="U48">
        <f t="shared" ca="1" si="14"/>
        <v>0</v>
      </c>
      <c r="V48">
        <f t="shared" ca="1" si="14"/>
        <v>0</v>
      </c>
      <c r="W48">
        <f t="shared" ca="1" si="15"/>
        <v>0</v>
      </c>
      <c r="X48" s="63">
        <f t="shared" ca="1" si="21"/>
        <v>0</v>
      </c>
      <c r="Y48">
        <f t="shared" ca="1" si="22"/>
        <v>0</v>
      </c>
      <c r="Z48">
        <f t="shared" ca="1" si="23"/>
        <v>0</v>
      </c>
      <c r="AA48">
        <f t="shared" ca="1" si="24"/>
        <v>0</v>
      </c>
      <c r="AB48">
        <f t="shared" ca="1" si="25"/>
        <v>0</v>
      </c>
    </row>
    <row r="49" spans="1:30" x14ac:dyDescent="0.2">
      <c r="C49" s="152" t="s">
        <v>291</v>
      </c>
      <c r="D49" s="152" t="s">
        <v>251</v>
      </c>
      <c r="X49" s="63"/>
    </row>
    <row r="50" spans="1:30" x14ac:dyDescent="0.2">
      <c r="D50" s="152">
        <f>IF(COUNTIF(D8:D18,"246 Matte Black")&gt;0,VLOOKUP(D49,b_ColourPrices,3),0)</f>
        <v>0</v>
      </c>
      <c r="X50" s="63"/>
    </row>
    <row r="51" spans="1:30" x14ac:dyDescent="0.2">
      <c r="C51" s="26" t="s">
        <v>126</v>
      </c>
      <c r="D51" s="26"/>
      <c r="Z51" s="51" t="s">
        <v>150</v>
      </c>
      <c r="AA51" s="26">
        <f ca="1">SUM(AA38:AA48)</f>
        <v>71.09</v>
      </c>
      <c r="AB51">
        <f ca="1">SUM(AB38:AB48)</f>
        <v>101.56</v>
      </c>
    </row>
    <row r="52" spans="1:30" x14ac:dyDescent="0.2">
      <c r="C52" s="51" t="s">
        <v>127</v>
      </c>
      <c r="D52">
        <f>IF(AND(DuluxColours=0,(COUNTIF(D8:D18,"Listed colour swatch (Paint)")+COUNTIF(D8:D18,"Listed colour swatch (Stain)")&gt;0)),"POA",SUM(DuluxColours*115.5))</f>
        <v>0</v>
      </c>
    </row>
    <row r="53" spans="1:30" x14ac:dyDescent="0.2">
      <c r="C53" s="51" t="s">
        <v>128</v>
      </c>
      <c r="D53">
        <f>IF(AND(SwatchColours=0,(COUNTIF(D8:D18,"Other swatch (Paint)")+COUNTIF(D8:D18,"Other swatch (Stain)")&gt;0)),"POA",SwatchColours*184.8)</f>
        <v>0</v>
      </c>
      <c r="X53" t="s">
        <v>80</v>
      </c>
    </row>
    <row r="54" spans="1:30" ht="13.5" thickBot="1" x14ac:dyDescent="0.25">
      <c r="C54" s="1" t="s">
        <v>8</v>
      </c>
      <c r="D54" s="22">
        <f>IF(OR(D52="POA",D53="POA"),"POA",SUM(D50:D53))</f>
        <v>0</v>
      </c>
      <c r="X54" t="s">
        <v>34</v>
      </c>
    </row>
    <row r="55" spans="1:30" ht="13.5" thickTop="1" x14ac:dyDescent="0.2">
      <c r="A55" s="26" t="s">
        <v>98</v>
      </c>
      <c r="B55" s="26" t="s">
        <v>99</v>
      </c>
      <c r="C55" t="s">
        <v>120</v>
      </c>
      <c r="F55" s="26" t="s">
        <v>76</v>
      </c>
      <c r="U55" s="24" t="s">
        <v>118</v>
      </c>
      <c r="V55" t="str">
        <f>'Order Form'!$J$6</f>
        <v>Standard (air)</v>
      </c>
      <c r="X55">
        <f ca="1">IF(V55&lt;&gt;0,AA51*VLOOKUP(V55,DeliveryMethodPrice,2,FALSE),0)</f>
        <v>0</v>
      </c>
    </row>
    <row r="56" spans="1:30" x14ac:dyDescent="0.2">
      <c r="A56" s="152" t="s">
        <v>265</v>
      </c>
      <c r="B56" t="s">
        <v>100</v>
      </c>
      <c r="C56" t="s">
        <v>129</v>
      </c>
      <c r="F56" t="s">
        <v>16</v>
      </c>
      <c r="G56" t="s">
        <v>34</v>
      </c>
      <c r="H56" t="s">
        <v>77</v>
      </c>
      <c r="U56" s="24" t="s">
        <v>89</v>
      </c>
    </row>
    <row r="57" spans="1:30" x14ac:dyDescent="0.2">
      <c r="C57" t="s">
        <v>130</v>
      </c>
      <c r="F57" s="1" t="s">
        <v>113</v>
      </c>
      <c r="G57" s="27">
        <v>0</v>
      </c>
      <c r="H57" s="27">
        <v>0</v>
      </c>
    </row>
    <row r="58" spans="1:30" x14ac:dyDescent="0.2">
      <c r="C58" t="s">
        <v>133</v>
      </c>
      <c r="F58" s="1" t="s">
        <v>154</v>
      </c>
      <c r="G58" s="27">
        <v>0</v>
      </c>
      <c r="H58" s="27">
        <v>0</v>
      </c>
      <c r="U58" s="24" t="s">
        <v>88</v>
      </c>
      <c r="X58">
        <f>$H$19</f>
        <v>1.0835999999999999</v>
      </c>
    </row>
    <row r="59" spans="1:30" ht="12.75" customHeight="1" x14ac:dyDescent="0.2">
      <c r="E59" s="51"/>
      <c r="F59" s="1"/>
      <c r="G59">
        <v>0</v>
      </c>
      <c r="U59" s="24" t="s">
        <v>183</v>
      </c>
      <c r="Y59" s="51" t="s">
        <v>184</v>
      </c>
      <c r="Z59" s="295" t="s">
        <v>124</v>
      </c>
      <c r="AA59" s="296"/>
      <c r="AB59" s="296"/>
      <c r="AC59" s="296"/>
      <c r="AD59" s="297"/>
    </row>
    <row r="60" spans="1:30" ht="12.75" customHeight="1" x14ac:dyDescent="0.2">
      <c r="A60" s="26" t="s">
        <v>232</v>
      </c>
      <c r="U60" s="24" t="s">
        <v>115</v>
      </c>
      <c r="X60">
        <f ca="1">X55-X56</f>
        <v>0</v>
      </c>
    </row>
    <row r="61" spans="1:30" ht="12.75" customHeight="1" x14ac:dyDescent="0.2">
      <c r="A61" s="152" t="s">
        <v>270</v>
      </c>
      <c r="U61" s="24" t="s">
        <v>116</v>
      </c>
      <c r="V61" s="51"/>
      <c r="W61" s="51"/>
      <c r="X61">
        <f ca="1">IF(AND(AB51&gt;0,(AB51+D54)&lt;150),DeliveryCharge,0)</f>
        <v>9.99</v>
      </c>
    </row>
    <row r="62" spans="1:30" ht="12.75" customHeight="1" x14ac:dyDescent="0.2">
      <c r="U62" s="24" t="s">
        <v>90</v>
      </c>
      <c r="X62">
        <f ca="1">IF(X60&lt;Y55,Y55,X60)</f>
        <v>0</v>
      </c>
    </row>
    <row r="63" spans="1:30" ht="12.75" customHeight="1" x14ac:dyDescent="0.2"/>
    <row r="64" spans="1:30" ht="12.75" customHeight="1" x14ac:dyDescent="0.2">
      <c r="U64" s="24" t="s">
        <v>123</v>
      </c>
      <c r="X64" s="60">
        <v>0</v>
      </c>
    </row>
    <row r="65" spans="1:25" ht="12.75" customHeight="1" x14ac:dyDescent="0.2"/>
    <row r="66" spans="1:25" ht="12.75" customHeight="1" x14ac:dyDescent="0.2">
      <c r="E66" s="1" t="s">
        <v>196</v>
      </c>
      <c r="U66" s="24" t="s">
        <v>156</v>
      </c>
      <c r="X66" s="26">
        <f ca="1">ROUND(AA51+X60+X61,2)</f>
        <v>81.08</v>
      </c>
    </row>
    <row r="67" spans="1:25" ht="12.75" customHeight="1" x14ac:dyDescent="0.2">
      <c r="E67">
        <v>0.7</v>
      </c>
      <c r="L67" t="s">
        <v>135</v>
      </c>
      <c r="M67" t="s">
        <v>34</v>
      </c>
    </row>
    <row r="68" spans="1:25" ht="12.75" customHeight="1" x14ac:dyDescent="0.2">
      <c r="U68" s="24" t="s">
        <v>182</v>
      </c>
      <c r="X68" s="178">
        <v>1</v>
      </c>
      <c r="Y68" t="str">
        <f>IF(X68=2,"Alternative","Normal")</f>
        <v>Normal</v>
      </c>
    </row>
    <row r="69" spans="1:25" x14ac:dyDescent="0.2">
      <c r="A69" t="s">
        <v>227</v>
      </c>
      <c r="B69" t="s">
        <v>228</v>
      </c>
      <c r="D69" t="s">
        <v>229</v>
      </c>
      <c r="E69" t="s">
        <v>230</v>
      </c>
    </row>
    <row r="70" spans="1:25" x14ac:dyDescent="0.2">
      <c r="A70">
        <v>1</v>
      </c>
      <c r="B70">
        <v>1</v>
      </c>
      <c r="D70">
        <v>1</v>
      </c>
      <c r="E70">
        <v>1</v>
      </c>
    </row>
    <row r="71" spans="1:25" x14ac:dyDescent="0.2">
      <c r="A71" s="132">
        <v>611</v>
      </c>
      <c r="B71">
        <v>2</v>
      </c>
      <c r="D71" s="132">
        <v>611</v>
      </c>
      <c r="E71">
        <v>2</v>
      </c>
      <c r="G71" s="63"/>
      <c r="J71" s="132"/>
    </row>
    <row r="72" spans="1:25" x14ac:dyDescent="0.2">
      <c r="A72" s="132">
        <v>763</v>
      </c>
      <c r="B72">
        <v>3</v>
      </c>
      <c r="D72" s="132">
        <v>763</v>
      </c>
      <c r="E72">
        <v>3</v>
      </c>
      <c r="G72" s="63"/>
      <c r="J72" s="132"/>
    </row>
    <row r="73" spans="1:25" x14ac:dyDescent="0.2">
      <c r="A73" s="132">
        <v>915</v>
      </c>
      <c r="B73">
        <v>4</v>
      </c>
      <c r="D73" s="132">
        <v>915</v>
      </c>
      <c r="E73">
        <v>4</v>
      </c>
      <c r="G73" s="63"/>
      <c r="J73" s="132"/>
    </row>
    <row r="74" spans="1:25" x14ac:dyDescent="0.2">
      <c r="A74" s="132">
        <v>1068</v>
      </c>
      <c r="B74">
        <v>5</v>
      </c>
      <c r="D74" s="132">
        <v>1068</v>
      </c>
      <c r="E74">
        <v>5</v>
      </c>
      <c r="G74" s="63"/>
      <c r="J74" s="132"/>
    </row>
    <row r="75" spans="1:25" x14ac:dyDescent="0.2">
      <c r="A75" s="132">
        <v>1220</v>
      </c>
      <c r="B75">
        <v>6</v>
      </c>
      <c r="D75" s="132">
        <v>1220</v>
      </c>
      <c r="E75">
        <v>6</v>
      </c>
      <c r="G75" s="63"/>
      <c r="J75" s="132"/>
    </row>
    <row r="76" spans="1:25" x14ac:dyDescent="0.2">
      <c r="A76" s="132">
        <v>1373</v>
      </c>
      <c r="B76">
        <v>7</v>
      </c>
      <c r="D76" s="132">
        <v>1373</v>
      </c>
      <c r="E76">
        <v>7</v>
      </c>
      <c r="G76" s="63"/>
      <c r="J76" s="132"/>
    </row>
    <row r="77" spans="1:25" x14ac:dyDescent="0.2">
      <c r="A77" s="132">
        <v>1525</v>
      </c>
      <c r="B77">
        <v>8</v>
      </c>
      <c r="D77" s="132">
        <v>1525</v>
      </c>
      <c r="E77">
        <v>8</v>
      </c>
      <c r="G77" s="63"/>
      <c r="J77" s="132"/>
    </row>
    <row r="78" spans="1:25" x14ac:dyDescent="0.2">
      <c r="A78" s="132">
        <v>1677</v>
      </c>
      <c r="B78">
        <v>9</v>
      </c>
      <c r="D78" s="132">
        <v>1677</v>
      </c>
      <c r="E78">
        <v>9</v>
      </c>
      <c r="G78" s="63"/>
      <c r="J78" s="132"/>
    </row>
    <row r="79" spans="1:25" x14ac:dyDescent="0.2">
      <c r="A79" s="132">
        <v>1830</v>
      </c>
      <c r="B79">
        <v>10</v>
      </c>
      <c r="D79" s="132">
        <v>1830</v>
      </c>
      <c r="E79">
        <v>10</v>
      </c>
      <c r="G79" s="63"/>
      <c r="J79" s="132"/>
    </row>
    <row r="80" spans="1:25" x14ac:dyDescent="0.2">
      <c r="A80" s="132">
        <v>1982</v>
      </c>
      <c r="B80">
        <v>11</v>
      </c>
      <c r="D80" s="132">
        <v>1982</v>
      </c>
      <c r="E80">
        <v>11</v>
      </c>
      <c r="G80" s="63"/>
      <c r="J80" s="132"/>
    </row>
    <row r="81" spans="1:10" x14ac:dyDescent="0.2">
      <c r="A81" s="132">
        <v>2135</v>
      </c>
      <c r="B81">
        <v>12</v>
      </c>
      <c r="D81" s="132">
        <v>2135</v>
      </c>
      <c r="E81">
        <v>12</v>
      </c>
      <c r="G81" s="63"/>
      <c r="J81" s="132"/>
    </row>
    <row r="82" spans="1:10" x14ac:dyDescent="0.2">
      <c r="A82" s="132">
        <v>2287</v>
      </c>
      <c r="B82">
        <v>13</v>
      </c>
      <c r="D82" s="132">
        <v>2287</v>
      </c>
      <c r="E82">
        <v>13</v>
      </c>
      <c r="G82" s="63"/>
      <c r="J82" s="132"/>
    </row>
    <row r="83" spans="1:10" x14ac:dyDescent="0.2">
      <c r="A83" s="132">
        <v>2439</v>
      </c>
      <c r="B83">
        <v>14</v>
      </c>
      <c r="D83" s="132">
        <v>2439</v>
      </c>
      <c r="E83">
        <v>14</v>
      </c>
      <c r="G83" s="63"/>
      <c r="J83" s="132"/>
    </row>
    <row r="84" spans="1:10" x14ac:dyDescent="0.2">
      <c r="A84" s="132">
        <v>2592</v>
      </c>
      <c r="B84">
        <v>15</v>
      </c>
      <c r="D84" s="127">
        <v>2451</v>
      </c>
      <c r="E84">
        <v>15</v>
      </c>
      <c r="G84" s="63"/>
      <c r="J84" s="133"/>
    </row>
    <row r="85" spans="1:10" x14ac:dyDescent="0.2">
      <c r="A85" s="132">
        <v>2744</v>
      </c>
      <c r="B85">
        <v>16</v>
      </c>
      <c r="D85" s="133">
        <v>2597</v>
      </c>
      <c r="E85">
        <v>16</v>
      </c>
      <c r="G85" s="63"/>
      <c r="J85" s="63"/>
    </row>
    <row r="86" spans="1:10" x14ac:dyDescent="0.2">
      <c r="A86" s="132">
        <v>2897</v>
      </c>
      <c r="B86">
        <v>17</v>
      </c>
      <c r="D86" s="133">
        <v>2748</v>
      </c>
      <c r="E86">
        <v>17</v>
      </c>
      <c r="G86" s="63"/>
      <c r="J86" s="63"/>
    </row>
    <row r="87" spans="1:10" x14ac:dyDescent="0.2">
      <c r="A87" s="132">
        <v>3049</v>
      </c>
      <c r="B87">
        <v>18</v>
      </c>
      <c r="D87" s="133">
        <v>2899</v>
      </c>
      <c r="E87">
        <v>18</v>
      </c>
      <c r="G87" s="63"/>
      <c r="J87" s="63"/>
    </row>
    <row r="88" spans="1:10" x14ac:dyDescent="0.2">
      <c r="D88" s="133">
        <v>3049</v>
      </c>
      <c r="E88">
        <v>19</v>
      </c>
      <c r="G88" s="63"/>
      <c r="J88" s="63"/>
    </row>
  </sheetData>
  <sheetProtection algorithmName="SHA-512" hashValue="alibgYyrAuj9ZWSLiKpd/ix4AbBz0dBsFq3R2IAcmGK11nUx8REEok1jq6JDKX3+zo1UIsGtPEdYmB4JpCkQAA==" saltValue="Mw3saheBU7U5EvefVN47bA==" spinCount="100000" sheet="1" objects="1" scenarios="1"/>
  <mergeCells count="1">
    <mergeCell ref="Z59:AD59"/>
  </mergeCells>
  <phoneticPr fontId="0" type="noConversion"/>
  <conditionalFormatting sqref="H8:H18">
    <cfRule type="expression" dxfId="0" priority="1" stopIfTrue="1">
      <formula>H8&lt;=0.7</formula>
    </cfRule>
  </conditionalFormatting>
  <pageMargins left="0.75" right="0.75" top="1" bottom="1" header="0.5" footer="0.5"/>
  <pageSetup paperSize="9" orientation="portrait" r:id="rId1"/>
  <headerFooter alignWithMargins="0"/>
  <ignoredErrors>
    <ignoredError sqref="L38:L48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BZ82"/>
  <sheetViews>
    <sheetView topLeftCell="CA1" zoomScale="98" zoomScaleNormal="98" workbookViewId="0">
      <selection sqref="A1:BZ1048576"/>
    </sheetView>
  </sheetViews>
  <sheetFormatPr defaultRowHeight="12.75" x14ac:dyDescent="0.2"/>
  <cols>
    <col min="1" max="1" width="18.140625" hidden="1" customWidth="1"/>
    <col min="2" max="3" width="9.140625" hidden="1" customWidth="1"/>
    <col min="4" max="4" width="2" hidden="1" customWidth="1"/>
    <col min="5" max="6" width="11.140625" hidden="1" customWidth="1"/>
    <col min="7" max="7" width="9.140625" hidden="1" customWidth="1"/>
    <col min="8" max="8" width="2" hidden="1" customWidth="1"/>
    <col min="9" max="10" width="9.140625" hidden="1" customWidth="1"/>
    <col min="11" max="11" width="2" hidden="1" customWidth="1"/>
    <col min="12" max="14" width="9.140625" hidden="1" customWidth="1"/>
    <col min="15" max="15" width="2" hidden="1" customWidth="1"/>
    <col min="16" max="17" width="9.140625" hidden="1" customWidth="1"/>
    <col min="18" max="18" width="2" hidden="1" customWidth="1"/>
    <col min="19" max="20" width="9.140625" hidden="1" customWidth="1"/>
    <col min="21" max="21" width="2" hidden="1" customWidth="1"/>
    <col min="22" max="23" width="9.140625" hidden="1" customWidth="1"/>
    <col min="24" max="24" width="2" hidden="1" customWidth="1"/>
    <col min="25" max="26" width="10" hidden="1" customWidth="1"/>
    <col min="27" max="27" width="1.28515625" hidden="1" customWidth="1"/>
    <col min="28" max="29" width="9.140625" hidden="1" customWidth="1"/>
    <col min="30" max="30" width="2" hidden="1" customWidth="1"/>
    <col min="31" max="32" width="9.140625" hidden="1" customWidth="1"/>
    <col min="33" max="33" width="2" hidden="1" customWidth="1"/>
    <col min="34" max="35" width="9.140625" hidden="1" customWidth="1"/>
    <col min="36" max="36" width="2" hidden="1" customWidth="1"/>
    <col min="37" max="38" width="9.140625" hidden="1" customWidth="1"/>
    <col min="39" max="39" width="2" hidden="1" customWidth="1"/>
    <col min="40" max="41" width="19.140625" hidden="1" customWidth="1"/>
    <col min="42" max="42" width="9.140625" hidden="1" customWidth="1"/>
    <col min="43" max="43" width="2" hidden="1" customWidth="1"/>
    <col min="44" max="44" width="18.28515625" hidden="1" customWidth="1"/>
    <col min="45" max="45" width="9.140625" hidden="1" customWidth="1"/>
    <col min="46" max="46" width="2" hidden="1" customWidth="1"/>
    <col min="47" max="48" width="9.140625" hidden="1" customWidth="1"/>
    <col min="49" max="49" width="2" hidden="1" customWidth="1"/>
    <col min="50" max="50" width="9.140625" hidden="1" customWidth="1"/>
    <col min="51" max="51" width="12.5703125" hidden="1" customWidth="1"/>
    <col min="52" max="52" width="2" hidden="1" customWidth="1"/>
    <col min="53" max="54" width="9.140625" hidden="1" customWidth="1"/>
    <col min="55" max="55" width="2" hidden="1" customWidth="1"/>
    <col min="56" max="56" width="25.42578125" hidden="1" customWidth="1"/>
    <col min="57" max="58" width="9.140625" hidden="1" customWidth="1"/>
    <col min="59" max="59" width="14.28515625" hidden="1" customWidth="1"/>
    <col min="60" max="78" width="9.140625" hidden="1" customWidth="1"/>
    <col min="79" max="79" width="9.140625" customWidth="1"/>
  </cols>
  <sheetData>
    <row r="1" spans="1:64" x14ac:dyDescent="0.2">
      <c r="A1" t="s">
        <v>18</v>
      </c>
      <c r="E1" t="s">
        <v>19</v>
      </c>
      <c r="I1" t="s">
        <v>21</v>
      </c>
      <c r="L1" t="s">
        <v>22</v>
      </c>
      <c r="P1" t="s">
        <v>23</v>
      </c>
      <c r="S1" t="s">
        <v>75</v>
      </c>
      <c r="V1" s="1" t="s">
        <v>199</v>
      </c>
      <c r="Y1" s="1" t="s">
        <v>198</v>
      </c>
      <c r="AB1" t="s">
        <v>1</v>
      </c>
      <c r="AE1" t="s">
        <v>26</v>
      </c>
      <c r="AH1" t="s">
        <v>27</v>
      </c>
      <c r="AK1" t="s">
        <v>28</v>
      </c>
      <c r="AN1" t="s">
        <v>29</v>
      </c>
      <c r="AR1" t="s">
        <v>30</v>
      </c>
      <c r="AU1" t="s">
        <v>31</v>
      </c>
      <c r="AX1" t="s">
        <v>33</v>
      </c>
      <c r="BA1" t="s">
        <v>32</v>
      </c>
      <c r="BD1" t="s">
        <v>114</v>
      </c>
      <c r="BG1" t="s">
        <v>142</v>
      </c>
      <c r="BI1" s="152" t="s">
        <v>295</v>
      </c>
      <c r="BK1" s="152" t="s">
        <v>309</v>
      </c>
    </row>
    <row r="2" spans="1:64" x14ac:dyDescent="0.2">
      <c r="A2" t="s">
        <v>16</v>
      </c>
      <c r="B2" s="152" t="s">
        <v>292</v>
      </c>
      <c r="C2" s="152" t="s">
        <v>291</v>
      </c>
      <c r="E2" t="s">
        <v>16</v>
      </c>
      <c r="F2" s="1" t="s">
        <v>243</v>
      </c>
      <c r="G2" t="s">
        <v>34</v>
      </c>
      <c r="I2" t="s">
        <v>16</v>
      </c>
      <c r="J2" t="s">
        <v>34</v>
      </c>
      <c r="L2" t="s">
        <v>16</v>
      </c>
      <c r="M2" t="s">
        <v>231</v>
      </c>
      <c r="N2" t="s">
        <v>34</v>
      </c>
      <c r="P2" t="s">
        <v>16</v>
      </c>
      <c r="Q2" t="s">
        <v>34</v>
      </c>
      <c r="S2" t="s">
        <v>16</v>
      </c>
      <c r="T2" t="s">
        <v>152</v>
      </c>
      <c r="V2" t="s">
        <v>16</v>
      </c>
      <c r="W2" t="s">
        <v>34</v>
      </c>
      <c r="Y2" s="1" t="s">
        <v>16</v>
      </c>
      <c r="AB2" t="s">
        <v>16</v>
      </c>
      <c r="AC2" t="s">
        <v>34</v>
      </c>
      <c r="AE2" t="s">
        <v>16</v>
      </c>
      <c r="AF2" t="s">
        <v>34</v>
      </c>
      <c r="AH2" t="s">
        <v>16</v>
      </c>
      <c r="AI2" t="s">
        <v>34</v>
      </c>
      <c r="AK2" t="s">
        <v>16</v>
      </c>
      <c r="AL2" t="s">
        <v>34</v>
      </c>
      <c r="AN2" t="s">
        <v>16</v>
      </c>
      <c r="AO2" s="1" t="s">
        <v>257</v>
      </c>
      <c r="AP2" t="s">
        <v>34</v>
      </c>
      <c r="AR2" t="s">
        <v>16</v>
      </c>
      <c r="AS2" t="s">
        <v>34</v>
      </c>
      <c r="AU2" t="s">
        <v>16</v>
      </c>
      <c r="AV2" t="s">
        <v>34</v>
      </c>
      <c r="AX2" t="s">
        <v>16</v>
      </c>
      <c r="AY2" t="s">
        <v>34</v>
      </c>
      <c r="BA2" t="s">
        <v>16</v>
      </c>
      <c r="BB2" t="s">
        <v>34</v>
      </c>
      <c r="BD2" t="s">
        <v>16</v>
      </c>
      <c r="BE2" t="s">
        <v>155</v>
      </c>
      <c r="BF2" t="s">
        <v>77</v>
      </c>
      <c r="BG2" t="s">
        <v>16</v>
      </c>
      <c r="BH2" t="s">
        <v>34</v>
      </c>
      <c r="BI2" s="152" t="s">
        <v>16</v>
      </c>
      <c r="BJ2" s="152" t="s">
        <v>34</v>
      </c>
      <c r="BK2" s="152" t="s">
        <v>16</v>
      </c>
      <c r="BL2" s="152" t="s">
        <v>34</v>
      </c>
    </row>
    <row r="3" spans="1:64" x14ac:dyDescent="0.2">
      <c r="A3" s="11" t="s">
        <v>65</v>
      </c>
      <c r="B3">
        <v>0</v>
      </c>
      <c r="C3">
        <v>0</v>
      </c>
      <c r="E3" s="152" t="s">
        <v>275</v>
      </c>
      <c r="F3" s="1" t="s">
        <v>244</v>
      </c>
      <c r="I3" s="152" t="s">
        <v>91</v>
      </c>
      <c r="L3" t="s">
        <v>11</v>
      </c>
      <c r="M3">
        <v>50</v>
      </c>
      <c r="N3" s="18">
        <v>0</v>
      </c>
      <c r="P3" t="s">
        <v>35</v>
      </c>
      <c r="Q3" s="18">
        <v>0</v>
      </c>
      <c r="S3" s="152" t="s">
        <v>283</v>
      </c>
      <c r="T3" s="74">
        <v>0</v>
      </c>
      <c r="V3" s="152" t="s">
        <v>91</v>
      </c>
      <c r="Y3" s="152" t="s">
        <v>85</v>
      </c>
      <c r="AB3" t="s">
        <v>85</v>
      </c>
      <c r="AE3" s="1" t="s">
        <v>56</v>
      </c>
      <c r="AH3" t="s">
        <v>56</v>
      </c>
      <c r="AK3" s="152" t="s">
        <v>266</v>
      </c>
      <c r="AN3" t="s">
        <v>195</v>
      </c>
      <c r="AO3">
        <v>0</v>
      </c>
      <c r="AR3" t="s">
        <v>13</v>
      </c>
      <c r="AU3" t="s">
        <v>35</v>
      </c>
      <c r="AV3" s="18">
        <v>0</v>
      </c>
      <c r="AX3">
        <v>1</v>
      </c>
      <c r="AY3" s="18">
        <v>0</v>
      </c>
      <c r="BA3" t="s">
        <v>13</v>
      </c>
      <c r="BD3" s="1" t="s">
        <v>246</v>
      </c>
      <c r="BE3" s="74">
        <v>0</v>
      </c>
      <c r="BF3" s="18">
        <v>0</v>
      </c>
      <c r="BG3" t="s">
        <v>143</v>
      </c>
      <c r="BH3" s="18"/>
      <c r="BI3" s="152" t="s">
        <v>91</v>
      </c>
      <c r="BK3" s="152" t="s">
        <v>334</v>
      </c>
    </row>
    <row r="4" spans="1:64" x14ac:dyDescent="0.2">
      <c r="A4" s="11" t="s">
        <v>66</v>
      </c>
      <c r="B4">
        <v>0</v>
      </c>
      <c r="C4">
        <v>0</v>
      </c>
      <c r="E4" s="152" t="s">
        <v>276</v>
      </c>
      <c r="F4" s="1" t="s">
        <v>245</v>
      </c>
      <c r="I4" s="168" t="s">
        <v>277</v>
      </c>
      <c r="L4" t="s">
        <v>12</v>
      </c>
      <c r="M4">
        <v>64</v>
      </c>
      <c r="N4" s="18">
        <v>0</v>
      </c>
      <c r="P4" t="s">
        <v>13</v>
      </c>
      <c r="Q4" s="18">
        <v>0</v>
      </c>
      <c r="S4" t="s">
        <v>36</v>
      </c>
      <c r="T4" s="73">
        <v>0.1</v>
      </c>
      <c r="V4" s="169" t="s">
        <v>284</v>
      </c>
      <c r="Y4" s="168" t="s">
        <v>316</v>
      </c>
      <c r="AB4" t="s">
        <v>40</v>
      </c>
      <c r="AE4" t="s">
        <v>57</v>
      </c>
      <c r="AH4" s="1" t="s">
        <v>57</v>
      </c>
      <c r="AK4" t="s">
        <v>122</v>
      </c>
      <c r="AN4" s="1" t="s">
        <v>258</v>
      </c>
      <c r="AO4">
        <v>0</v>
      </c>
      <c r="AR4" t="s">
        <v>35</v>
      </c>
      <c r="AU4">
        <v>1</v>
      </c>
      <c r="AV4" s="52">
        <v>13.86</v>
      </c>
      <c r="AX4">
        <v>2</v>
      </c>
      <c r="AY4" s="52">
        <v>23.68</v>
      </c>
      <c r="BA4" t="s">
        <v>35</v>
      </c>
      <c r="BD4" s="1" t="s">
        <v>253</v>
      </c>
      <c r="BE4" s="74">
        <v>0</v>
      </c>
      <c r="BF4" s="18">
        <v>0</v>
      </c>
      <c r="BG4" t="s">
        <v>144</v>
      </c>
      <c r="BH4" s="52">
        <v>2.89</v>
      </c>
      <c r="BI4" s="218" t="s">
        <v>297</v>
      </c>
      <c r="BK4" s="152" t="s">
        <v>310</v>
      </c>
    </row>
    <row r="5" spans="1:64" x14ac:dyDescent="0.2">
      <c r="A5" s="11" t="s">
        <v>67</v>
      </c>
      <c r="B5">
        <v>0</v>
      </c>
      <c r="C5">
        <v>0</v>
      </c>
      <c r="I5" s="168" t="s">
        <v>280</v>
      </c>
      <c r="S5" t="s">
        <v>151</v>
      </c>
      <c r="T5" s="73">
        <v>0.15</v>
      </c>
      <c r="V5" s="169" t="s">
        <v>285</v>
      </c>
      <c r="Y5" s="168" t="s">
        <v>317</v>
      </c>
      <c r="AB5" t="s">
        <v>41</v>
      </c>
      <c r="AK5" t="s">
        <v>138</v>
      </c>
      <c r="AN5" s="1" t="s">
        <v>260</v>
      </c>
      <c r="AO5" s="16">
        <v>0.1</v>
      </c>
      <c r="AR5" s="3" t="s">
        <v>247</v>
      </c>
      <c r="AU5">
        <v>2</v>
      </c>
      <c r="AV5" s="52">
        <f>$AV$4*AU5</f>
        <v>27.72</v>
      </c>
      <c r="AX5">
        <v>3</v>
      </c>
      <c r="AY5" s="52">
        <v>23.68</v>
      </c>
      <c r="BD5" s="1" t="s">
        <v>252</v>
      </c>
      <c r="BE5" s="73">
        <v>-0.1</v>
      </c>
      <c r="BF5" s="18">
        <v>0</v>
      </c>
      <c r="BG5" t="s">
        <v>145</v>
      </c>
      <c r="BH5" s="52">
        <v>2.89</v>
      </c>
      <c r="BI5" s="218" t="s">
        <v>296</v>
      </c>
      <c r="BK5" s="152" t="s">
        <v>311</v>
      </c>
    </row>
    <row r="6" spans="1:64" x14ac:dyDescent="0.2">
      <c r="A6" s="11" t="s">
        <v>68</v>
      </c>
      <c r="B6">
        <v>0</v>
      </c>
      <c r="C6">
        <v>0</v>
      </c>
      <c r="I6" s="168" t="s">
        <v>282</v>
      </c>
      <c r="V6" s="169" t="s">
        <v>286</v>
      </c>
      <c r="Y6" s="168" t="s">
        <v>318</v>
      </c>
      <c r="AB6" t="s">
        <v>42</v>
      </c>
      <c r="AK6" t="s">
        <v>139</v>
      </c>
      <c r="AN6" s="1" t="s">
        <v>262</v>
      </c>
      <c r="AO6" s="16">
        <v>0.1</v>
      </c>
      <c r="AR6" s="1" t="s">
        <v>238</v>
      </c>
      <c r="AU6">
        <v>3</v>
      </c>
      <c r="AV6" s="52">
        <f t="shared" ref="AV6:AV7" si="0">$AV$4*AU6</f>
        <v>41.58</v>
      </c>
      <c r="BD6" s="1" t="s">
        <v>254</v>
      </c>
      <c r="BE6" s="73">
        <v>-0.1</v>
      </c>
      <c r="BF6" s="18">
        <v>0</v>
      </c>
      <c r="BG6" t="s">
        <v>146</v>
      </c>
      <c r="BH6" s="52">
        <v>2.89</v>
      </c>
      <c r="BI6" s="218" t="s">
        <v>303</v>
      </c>
    </row>
    <row r="7" spans="1:64" x14ac:dyDescent="0.2">
      <c r="A7" s="11" t="s">
        <v>312</v>
      </c>
      <c r="B7">
        <v>0</v>
      </c>
      <c r="C7">
        <v>0</v>
      </c>
      <c r="I7" s="168" t="s">
        <v>281</v>
      </c>
      <c r="V7" s="169" t="s">
        <v>287</v>
      </c>
      <c r="Y7" s="168" t="s">
        <v>339</v>
      </c>
      <c r="AB7" t="s">
        <v>43</v>
      </c>
      <c r="AN7" s="1" t="s">
        <v>261</v>
      </c>
      <c r="AO7" s="16">
        <v>0.1</v>
      </c>
      <c r="AR7" s="1" t="s">
        <v>240</v>
      </c>
      <c r="AU7">
        <v>4</v>
      </c>
      <c r="AV7" s="52">
        <f t="shared" si="0"/>
        <v>55.44</v>
      </c>
      <c r="BD7" t="s">
        <v>78</v>
      </c>
      <c r="BE7" s="25"/>
      <c r="BF7" s="18">
        <v>0</v>
      </c>
      <c r="BI7" s="218" t="s">
        <v>304</v>
      </c>
    </row>
    <row r="8" spans="1:64" x14ac:dyDescent="0.2">
      <c r="A8" s="11" t="s">
        <v>313</v>
      </c>
      <c r="B8">
        <v>0</v>
      </c>
      <c r="C8">
        <v>0</v>
      </c>
      <c r="I8" s="168" t="s">
        <v>279</v>
      </c>
      <c r="V8" s="169" t="s">
        <v>288</v>
      </c>
      <c r="Y8" s="168" t="s">
        <v>319</v>
      </c>
      <c r="AB8" t="s">
        <v>44</v>
      </c>
      <c r="AN8" s="1" t="s">
        <v>259</v>
      </c>
      <c r="AO8" s="16">
        <v>0.1</v>
      </c>
      <c r="AR8" s="1" t="s">
        <v>239</v>
      </c>
      <c r="BI8" s="218" t="s">
        <v>301</v>
      </c>
    </row>
    <row r="9" spans="1:64" x14ac:dyDescent="0.2">
      <c r="A9" s="11" t="s">
        <v>337</v>
      </c>
      <c r="B9">
        <v>0</v>
      </c>
      <c r="C9">
        <v>0</v>
      </c>
      <c r="I9" s="168" t="s">
        <v>336</v>
      </c>
      <c r="V9" s="169" t="s">
        <v>289</v>
      </c>
      <c r="Y9" s="168" t="s">
        <v>320</v>
      </c>
      <c r="AB9" t="s">
        <v>45</v>
      </c>
      <c r="AN9" s="1"/>
      <c r="AO9" s="1"/>
      <c r="AR9" s="3" t="s">
        <v>241</v>
      </c>
      <c r="BI9" s="218" t="s">
        <v>342</v>
      </c>
    </row>
    <row r="10" spans="1:64" x14ac:dyDescent="0.2">
      <c r="A10" s="11" t="s">
        <v>338</v>
      </c>
      <c r="B10">
        <v>0</v>
      </c>
      <c r="C10">
        <v>0</v>
      </c>
      <c r="I10" s="168" t="s">
        <v>278</v>
      </c>
      <c r="V10" s="169" t="s">
        <v>290</v>
      </c>
      <c r="Y10" s="168" t="s">
        <v>321</v>
      </c>
      <c r="AB10" t="s">
        <v>46</v>
      </c>
      <c r="AN10" s="1"/>
      <c r="AO10" s="1"/>
      <c r="AR10" s="1" t="s">
        <v>238</v>
      </c>
      <c r="BI10" s="218" t="s">
        <v>298</v>
      </c>
    </row>
    <row r="11" spans="1:64" x14ac:dyDescent="0.2">
      <c r="A11" s="11" t="s">
        <v>248</v>
      </c>
      <c r="B11">
        <v>0</v>
      </c>
      <c r="C11">
        <v>0</v>
      </c>
      <c r="V11" s="168" t="s">
        <v>332</v>
      </c>
      <c r="Y11" s="168" t="s">
        <v>322</v>
      </c>
      <c r="AB11" t="s">
        <v>47</v>
      </c>
      <c r="AR11" s="1" t="s">
        <v>242</v>
      </c>
      <c r="BI11" s="218" t="s">
        <v>302</v>
      </c>
    </row>
    <row r="12" spans="1:64" x14ac:dyDescent="0.2">
      <c r="A12" s="217" t="s">
        <v>315</v>
      </c>
      <c r="B12">
        <v>0</v>
      </c>
      <c r="C12">
        <v>0</v>
      </c>
      <c r="V12" s="168" t="s">
        <v>333</v>
      </c>
      <c r="Y12" s="168" t="s">
        <v>323</v>
      </c>
      <c r="AB12" t="s">
        <v>48</v>
      </c>
      <c r="AR12" s="1" t="s">
        <v>239</v>
      </c>
      <c r="BI12" s="218" t="s">
        <v>300</v>
      </c>
    </row>
    <row r="13" spans="1:64" x14ac:dyDescent="0.2">
      <c r="A13" s="11" t="s">
        <v>132</v>
      </c>
      <c r="B13">
        <v>0</v>
      </c>
      <c r="C13">
        <v>0</v>
      </c>
      <c r="Y13" s="168" t="s">
        <v>324</v>
      </c>
      <c r="AB13" t="s">
        <v>49</v>
      </c>
      <c r="BI13" s="218" t="s">
        <v>299</v>
      </c>
    </row>
    <row r="14" spans="1:64" x14ac:dyDescent="0.2">
      <c r="A14" s="11" t="s">
        <v>69</v>
      </c>
      <c r="B14">
        <v>0</v>
      </c>
      <c r="C14">
        <v>0</v>
      </c>
      <c r="V14" t="s">
        <v>185</v>
      </c>
      <c r="Y14" s="168" t="s">
        <v>325</v>
      </c>
      <c r="AB14" t="s">
        <v>50</v>
      </c>
      <c r="BI14" s="218" t="s">
        <v>343</v>
      </c>
    </row>
    <row r="15" spans="1:64" x14ac:dyDescent="0.2">
      <c r="A15" s="11" t="s">
        <v>92</v>
      </c>
      <c r="B15">
        <v>0</v>
      </c>
      <c r="C15">
        <v>0</v>
      </c>
      <c r="V15" s="153" t="s">
        <v>91</v>
      </c>
      <c r="Y15" s="168" t="s">
        <v>326</v>
      </c>
      <c r="AB15" t="s">
        <v>51</v>
      </c>
    </row>
    <row r="16" spans="1:64" x14ac:dyDescent="0.2">
      <c r="A16" s="11" t="s">
        <v>249</v>
      </c>
      <c r="B16">
        <v>0</v>
      </c>
      <c r="C16">
        <v>0</v>
      </c>
      <c r="V16" t="s">
        <v>37</v>
      </c>
      <c r="Y16" s="168" t="s">
        <v>327</v>
      </c>
      <c r="AB16" s="152" t="s">
        <v>340</v>
      </c>
    </row>
    <row r="17" spans="1:28" x14ac:dyDescent="0.2">
      <c r="A17" s="11" t="s">
        <v>308</v>
      </c>
      <c r="B17">
        <v>0</v>
      </c>
      <c r="C17">
        <v>0</v>
      </c>
      <c r="V17" t="s">
        <v>38</v>
      </c>
      <c r="Y17" s="168" t="s">
        <v>328</v>
      </c>
      <c r="AB17" t="s">
        <v>52</v>
      </c>
    </row>
    <row r="18" spans="1:28" x14ac:dyDescent="0.2">
      <c r="A18" s="11" t="s">
        <v>70</v>
      </c>
      <c r="B18">
        <v>0</v>
      </c>
      <c r="C18">
        <v>0</v>
      </c>
      <c r="Q18" t="s">
        <v>124</v>
      </c>
      <c r="V18" t="s">
        <v>39</v>
      </c>
      <c r="Y18" s="168" t="s">
        <v>329</v>
      </c>
      <c r="AB18" t="s">
        <v>53</v>
      </c>
    </row>
    <row r="19" spans="1:28" x14ac:dyDescent="0.2">
      <c r="A19" s="11" t="s">
        <v>71</v>
      </c>
      <c r="B19">
        <v>0</v>
      </c>
      <c r="C19">
        <v>0</v>
      </c>
      <c r="V19" t="s">
        <v>186</v>
      </c>
      <c r="Y19" s="169" t="s">
        <v>330</v>
      </c>
      <c r="AB19" t="s">
        <v>54</v>
      </c>
    </row>
    <row r="20" spans="1:28" x14ac:dyDescent="0.2">
      <c r="A20" s="11" t="s">
        <v>72</v>
      </c>
      <c r="B20">
        <v>0</v>
      </c>
      <c r="C20">
        <v>0</v>
      </c>
      <c r="V20" t="s">
        <v>187</v>
      </c>
      <c r="Y20" s="169" t="s">
        <v>331</v>
      </c>
      <c r="AB20" t="s">
        <v>55</v>
      </c>
    </row>
    <row r="21" spans="1:28" x14ac:dyDescent="0.2">
      <c r="A21" s="11" t="s">
        <v>250</v>
      </c>
      <c r="B21">
        <v>0</v>
      </c>
      <c r="C21">
        <v>0</v>
      </c>
      <c r="V21" t="s">
        <v>188</v>
      </c>
      <c r="AB21" s="152" t="s">
        <v>341</v>
      </c>
    </row>
    <row r="22" spans="1:28" x14ac:dyDescent="0.2">
      <c r="A22" s="11" t="s">
        <v>73</v>
      </c>
      <c r="B22">
        <v>0</v>
      </c>
      <c r="C22">
        <v>0</v>
      </c>
      <c r="V22" t="s">
        <v>189</v>
      </c>
    </row>
    <row r="23" spans="1:28" x14ac:dyDescent="0.2">
      <c r="A23" s="11" t="s">
        <v>74</v>
      </c>
      <c r="B23">
        <v>0</v>
      </c>
      <c r="C23">
        <v>0</v>
      </c>
      <c r="V23" t="s">
        <v>190</v>
      </c>
    </row>
    <row r="24" spans="1:28" x14ac:dyDescent="0.2">
      <c r="A24" s="11" t="s">
        <v>94</v>
      </c>
      <c r="B24">
        <v>0</v>
      </c>
      <c r="C24">
        <v>0</v>
      </c>
      <c r="V24" t="s">
        <v>191</v>
      </c>
    </row>
    <row r="25" spans="1:28" x14ac:dyDescent="0.2">
      <c r="A25" s="11" t="s">
        <v>95</v>
      </c>
      <c r="B25">
        <v>0</v>
      </c>
      <c r="C25">
        <v>0</v>
      </c>
      <c r="V25" t="s">
        <v>192</v>
      </c>
    </row>
    <row r="26" spans="1:28" x14ac:dyDescent="0.2">
      <c r="A26" s="11" t="s">
        <v>96</v>
      </c>
      <c r="B26">
        <v>0</v>
      </c>
      <c r="C26">
        <v>0</v>
      </c>
      <c r="V26" t="s">
        <v>193</v>
      </c>
    </row>
    <row r="27" spans="1:28" x14ac:dyDescent="0.2">
      <c r="A27" s="11" t="s">
        <v>125</v>
      </c>
      <c r="B27">
        <v>0</v>
      </c>
      <c r="C27">
        <v>0</v>
      </c>
      <c r="V27" t="s">
        <v>194</v>
      </c>
    </row>
    <row r="28" spans="1:28" x14ac:dyDescent="0.2">
      <c r="A28" s="11" t="s">
        <v>251</v>
      </c>
      <c r="B28">
        <v>0</v>
      </c>
      <c r="C28">
        <v>57.75</v>
      </c>
      <c r="V28" t="s">
        <v>148</v>
      </c>
    </row>
    <row r="29" spans="1:28" x14ac:dyDescent="0.2">
      <c r="A29" s="11" t="s">
        <v>137</v>
      </c>
      <c r="B29">
        <v>0</v>
      </c>
      <c r="C29">
        <v>0</v>
      </c>
      <c r="S29" s="1" t="s">
        <v>91</v>
      </c>
      <c r="V29" t="s">
        <v>149</v>
      </c>
    </row>
    <row r="30" spans="1:28" x14ac:dyDescent="0.2">
      <c r="A30" s="11"/>
    </row>
    <row r="31" spans="1:28" x14ac:dyDescent="0.2">
      <c r="A31" s="11"/>
    </row>
    <row r="32" spans="1:28" x14ac:dyDescent="0.2">
      <c r="A32" s="11"/>
    </row>
    <row r="33" spans="1:1" x14ac:dyDescent="0.2">
      <c r="A33" s="11"/>
    </row>
    <row r="34" spans="1:1" x14ac:dyDescent="0.2">
      <c r="A34" s="11"/>
    </row>
    <row r="35" spans="1:1" x14ac:dyDescent="0.2">
      <c r="A35" s="11"/>
    </row>
    <row r="36" spans="1:1" x14ac:dyDescent="0.2">
      <c r="A36" s="11"/>
    </row>
    <row r="37" spans="1:1" x14ac:dyDescent="0.2">
      <c r="A37" s="11"/>
    </row>
    <row r="38" spans="1:1" x14ac:dyDescent="0.2">
      <c r="A38" s="11"/>
    </row>
    <row r="39" spans="1:1" x14ac:dyDescent="0.2">
      <c r="A39" s="11"/>
    </row>
    <row r="40" spans="1:1" x14ac:dyDescent="0.2">
      <c r="A40" s="11"/>
    </row>
    <row r="41" spans="1:1" x14ac:dyDescent="0.2">
      <c r="A41" s="11"/>
    </row>
    <row r="42" spans="1:1" x14ac:dyDescent="0.2">
      <c r="A42" s="11"/>
    </row>
    <row r="43" spans="1:1" x14ac:dyDescent="0.2">
      <c r="A43" s="11"/>
    </row>
    <row r="44" spans="1:1" x14ac:dyDescent="0.2">
      <c r="A44" s="11"/>
    </row>
    <row r="45" spans="1:1" x14ac:dyDescent="0.2">
      <c r="A45" s="11"/>
    </row>
    <row r="46" spans="1:1" x14ac:dyDescent="0.2">
      <c r="A46" s="11"/>
    </row>
    <row r="47" spans="1:1" x14ac:dyDescent="0.2">
      <c r="A47" s="11"/>
    </row>
    <row r="48" spans="1:1" x14ac:dyDescent="0.2">
      <c r="A48" s="11"/>
    </row>
    <row r="49" spans="1:1" x14ac:dyDescent="0.2">
      <c r="A49" s="11"/>
    </row>
    <row r="50" spans="1:1" x14ac:dyDescent="0.2">
      <c r="A50" s="11"/>
    </row>
    <row r="51" spans="1:1" x14ac:dyDescent="0.2">
      <c r="A51" s="11"/>
    </row>
    <row r="52" spans="1:1" x14ac:dyDescent="0.2">
      <c r="A52" s="11"/>
    </row>
    <row r="53" spans="1:1" x14ac:dyDescent="0.2">
      <c r="A53" s="11"/>
    </row>
    <row r="54" spans="1:1" x14ac:dyDescent="0.2">
      <c r="A54" s="11"/>
    </row>
    <row r="55" spans="1:1" x14ac:dyDescent="0.2">
      <c r="A55" s="11"/>
    </row>
    <row r="56" spans="1:1" x14ac:dyDescent="0.2">
      <c r="A56" s="11"/>
    </row>
    <row r="57" spans="1:1" x14ac:dyDescent="0.2">
      <c r="A57" s="11"/>
    </row>
    <row r="58" spans="1:1" x14ac:dyDescent="0.2">
      <c r="A58" s="11"/>
    </row>
    <row r="59" spans="1:1" x14ac:dyDescent="0.2">
      <c r="A59" s="11"/>
    </row>
    <row r="60" spans="1:1" x14ac:dyDescent="0.2">
      <c r="A60" s="11"/>
    </row>
    <row r="61" spans="1:1" x14ac:dyDescent="0.2">
      <c r="A61" s="11"/>
    </row>
    <row r="62" spans="1:1" x14ac:dyDescent="0.2">
      <c r="A62" s="11"/>
    </row>
    <row r="63" spans="1:1" x14ac:dyDescent="0.2">
      <c r="A63" s="11"/>
    </row>
    <row r="64" spans="1:1" x14ac:dyDescent="0.2">
      <c r="A64" s="11"/>
    </row>
    <row r="65" spans="1:1" x14ac:dyDescent="0.2">
      <c r="A65" s="11"/>
    </row>
    <row r="66" spans="1:1" x14ac:dyDescent="0.2">
      <c r="A66" s="11"/>
    </row>
    <row r="67" spans="1:1" x14ac:dyDescent="0.2">
      <c r="A67" s="11"/>
    </row>
    <row r="68" spans="1:1" x14ac:dyDescent="0.2">
      <c r="A68" s="11"/>
    </row>
    <row r="69" spans="1:1" x14ac:dyDescent="0.2">
      <c r="A69" s="11"/>
    </row>
    <row r="70" spans="1:1" x14ac:dyDescent="0.2">
      <c r="A70" s="11"/>
    </row>
    <row r="71" spans="1:1" x14ac:dyDescent="0.2">
      <c r="A71" s="11"/>
    </row>
    <row r="72" spans="1:1" x14ac:dyDescent="0.2">
      <c r="A72" s="11"/>
    </row>
    <row r="73" spans="1:1" x14ac:dyDescent="0.2">
      <c r="A73" s="11"/>
    </row>
    <row r="74" spans="1:1" x14ac:dyDescent="0.2">
      <c r="A74" s="11"/>
    </row>
    <row r="75" spans="1:1" x14ac:dyDescent="0.2">
      <c r="A75" s="11"/>
    </row>
    <row r="76" spans="1:1" x14ac:dyDescent="0.2">
      <c r="A76" s="11"/>
    </row>
    <row r="77" spans="1:1" x14ac:dyDescent="0.2">
      <c r="A77" s="11"/>
    </row>
    <row r="78" spans="1:1" x14ac:dyDescent="0.2">
      <c r="A78" s="11"/>
    </row>
    <row r="79" spans="1:1" x14ac:dyDescent="0.2">
      <c r="A79" s="11"/>
    </row>
    <row r="80" spans="1:1" x14ac:dyDescent="0.2">
      <c r="A80" s="11"/>
    </row>
    <row r="81" spans="1:1" x14ac:dyDescent="0.2">
      <c r="A81" s="1"/>
    </row>
    <row r="82" spans="1:1" x14ac:dyDescent="0.2">
      <c r="A82" s="1"/>
    </row>
  </sheetData>
  <sheetProtection algorithmName="SHA-512" hashValue="JihOianUA5lCoNPQmz5aR1t7uR/lHHmPO/tNKKVaKkvbcVD9+SbnN8qQKXKc+m6Y8wbT6ksJlaPJsFxLk6lj4w==" saltValue="EScAxC0/m3edKYv02uMpIg==" spinCount="100000" sheet="1" objects="1" scenarios="1"/>
  <sortState xmlns:xlrd2="http://schemas.microsoft.com/office/spreadsheetml/2017/richdata2" ref="I4:I12">
    <sortCondition ref="I4"/>
  </sortState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2:BZ53"/>
  <sheetViews>
    <sheetView topLeftCell="CA1" workbookViewId="0">
      <selection sqref="A1:BZ1048576"/>
    </sheetView>
  </sheetViews>
  <sheetFormatPr defaultRowHeight="12.75" x14ac:dyDescent="0.2"/>
  <cols>
    <col min="1" max="3" width="9.140625" hidden="1" customWidth="1"/>
    <col min="4" max="4" width="9.5703125" hidden="1" customWidth="1"/>
    <col min="5" max="78" width="9.140625" hidden="1" customWidth="1"/>
  </cols>
  <sheetData>
    <row r="2" spans="1:21" x14ac:dyDescent="0.2">
      <c r="G2" s="158" t="s">
        <v>267</v>
      </c>
      <c r="H2" s="128"/>
      <c r="I2">
        <v>66.91</v>
      </c>
    </row>
    <row r="3" spans="1:21" s="63" customFormat="1" x14ac:dyDescent="0.2">
      <c r="A3" s="126"/>
      <c r="B3" s="127"/>
      <c r="C3" s="127"/>
      <c r="D3" s="128"/>
      <c r="E3" s="128"/>
      <c r="F3" s="128"/>
      <c r="G3" s="157" t="s">
        <v>268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21" s="63" customFormat="1" x14ac:dyDescent="0.2">
      <c r="A4" s="126"/>
      <c r="B4" s="127"/>
      <c r="C4" s="127"/>
      <c r="D4" s="60"/>
      <c r="F4" s="128"/>
      <c r="G4" s="160" t="s">
        <v>269</v>
      </c>
      <c r="H4" s="154"/>
      <c r="I4" s="159"/>
      <c r="J4" s="128"/>
      <c r="K4" s="128"/>
      <c r="L4" s="128"/>
      <c r="M4" s="128"/>
      <c r="N4" s="128"/>
      <c r="O4" s="128"/>
      <c r="P4" s="128"/>
      <c r="Q4" s="128"/>
    </row>
    <row r="5" spans="1:21" s="63" customFormat="1" x14ac:dyDescent="0.2"/>
    <row r="6" spans="1:21" s="63" customFormat="1" x14ac:dyDescent="0.2"/>
    <row r="7" spans="1:21" s="63" customFormat="1" x14ac:dyDescent="0.2">
      <c r="A7" s="129" t="s">
        <v>225</v>
      </c>
      <c r="D7" s="302" t="s">
        <v>201</v>
      </c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</row>
    <row r="8" spans="1:21" s="63" customFormat="1" x14ac:dyDescent="0.2">
      <c r="A8" s="131"/>
      <c r="B8" s="131"/>
      <c r="C8" s="131"/>
      <c r="D8" s="132"/>
      <c r="E8" s="132"/>
      <c r="F8" s="132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303"/>
      <c r="R8" s="304"/>
      <c r="S8" s="304"/>
      <c r="T8" s="304"/>
      <c r="U8" s="304"/>
    </row>
    <row r="9" spans="1:21" s="63" customFormat="1" x14ac:dyDescent="0.2">
      <c r="A9" s="131"/>
      <c r="B9" s="131"/>
      <c r="C9" s="131"/>
      <c r="D9" s="132">
        <v>610</v>
      </c>
      <c r="E9" s="132">
        <v>762</v>
      </c>
      <c r="F9" s="132">
        <v>914</v>
      </c>
      <c r="G9" s="132">
        <v>1067</v>
      </c>
      <c r="H9" s="132">
        <v>1219</v>
      </c>
      <c r="I9" s="132">
        <v>1372</v>
      </c>
      <c r="J9" s="132">
        <v>1524</v>
      </c>
      <c r="K9" s="132">
        <v>1676</v>
      </c>
      <c r="L9" s="132">
        <v>1829</v>
      </c>
      <c r="M9" s="132">
        <v>1981</v>
      </c>
      <c r="N9" s="132">
        <v>2134</v>
      </c>
      <c r="O9" s="132">
        <v>2286</v>
      </c>
      <c r="P9" s="132">
        <v>2438</v>
      </c>
      <c r="Q9" s="127">
        <v>2450</v>
      </c>
      <c r="R9" s="133">
        <v>2596</v>
      </c>
      <c r="S9" s="133">
        <v>2747</v>
      </c>
      <c r="T9" s="133">
        <v>2898</v>
      </c>
      <c r="U9" s="133">
        <v>3048</v>
      </c>
    </row>
    <row r="10" spans="1:21" s="63" customFormat="1" x14ac:dyDescent="0.2">
      <c r="A10" s="131"/>
      <c r="B10" s="131"/>
      <c r="C10" s="131"/>
      <c r="D10" s="132" t="s">
        <v>202</v>
      </c>
      <c r="E10" s="132" t="s">
        <v>203</v>
      </c>
      <c r="F10" s="132" t="s">
        <v>204</v>
      </c>
      <c r="G10" s="132" t="s">
        <v>205</v>
      </c>
      <c r="H10" s="132" t="s">
        <v>206</v>
      </c>
      <c r="I10" s="132" t="s">
        <v>207</v>
      </c>
      <c r="J10" s="132" t="s">
        <v>208</v>
      </c>
      <c r="K10" s="132" t="s">
        <v>209</v>
      </c>
      <c r="L10" s="132" t="s">
        <v>210</v>
      </c>
      <c r="M10" s="132" t="s">
        <v>211</v>
      </c>
      <c r="N10" s="132" t="s">
        <v>212</v>
      </c>
      <c r="O10" s="132" t="s">
        <v>213</v>
      </c>
      <c r="P10" s="132" t="s">
        <v>214</v>
      </c>
      <c r="Q10" s="127" t="s">
        <v>215</v>
      </c>
      <c r="R10" s="133" t="s">
        <v>216</v>
      </c>
      <c r="S10" s="133" t="s">
        <v>217</v>
      </c>
      <c r="T10" s="133" t="s">
        <v>218</v>
      </c>
      <c r="U10" s="133" t="s">
        <v>219</v>
      </c>
    </row>
    <row r="11" spans="1:21" s="63" customFormat="1" x14ac:dyDescent="0.2">
      <c r="A11" s="300" t="s">
        <v>220</v>
      </c>
      <c r="B11" s="132">
        <v>610</v>
      </c>
      <c r="C11" s="132" t="s">
        <v>202</v>
      </c>
      <c r="D11" s="161">
        <v>66.91</v>
      </c>
      <c r="E11" s="161">
        <v>66.91</v>
      </c>
      <c r="F11" s="161">
        <v>66.91</v>
      </c>
      <c r="G11" s="161">
        <v>66.91</v>
      </c>
      <c r="H11" s="161">
        <v>66.91</v>
      </c>
      <c r="I11" s="63">
        <v>67.78</v>
      </c>
      <c r="J11" s="63">
        <v>75.290000000000006</v>
      </c>
      <c r="K11" s="63">
        <v>82.8</v>
      </c>
      <c r="L11" s="63">
        <v>90.36</v>
      </c>
      <c r="M11" s="63">
        <v>97.86</v>
      </c>
      <c r="N11" s="63">
        <v>105.43</v>
      </c>
      <c r="O11" s="63">
        <v>112.94</v>
      </c>
      <c r="P11" s="63">
        <v>120.44</v>
      </c>
      <c r="Q11" s="63">
        <v>121.03</v>
      </c>
      <c r="R11" s="63">
        <v>128.25</v>
      </c>
      <c r="S11" s="63">
        <v>135.71</v>
      </c>
      <c r="T11" s="63">
        <v>143.16999999999999</v>
      </c>
      <c r="U11" s="63">
        <v>150.58000000000001</v>
      </c>
    </row>
    <row r="12" spans="1:21" s="63" customFormat="1" x14ac:dyDescent="0.2">
      <c r="A12" s="300"/>
      <c r="B12" s="132">
        <v>762</v>
      </c>
      <c r="C12" s="132" t="s">
        <v>203</v>
      </c>
      <c r="D12" s="161">
        <v>66.91</v>
      </c>
      <c r="E12" s="161">
        <v>66.91</v>
      </c>
      <c r="F12" s="161">
        <v>66.91</v>
      </c>
      <c r="G12" s="161">
        <v>66.91</v>
      </c>
      <c r="H12" s="63">
        <v>75.23</v>
      </c>
      <c r="I12" s="63">
        <v>84.67</v>
      </c>
      <c r="J12" s="63">
        <v>94.05</v>
      </c>
      <c r="K12" s="63">
        <v>103.43</v>
      </c>
      <c r="L12" s="63">
        <v>112.88</v>
      </c>
      <c r="M12" s="63">
        <v>122.26</v>
      </c>
      <c r="N12" s="63">
        <v>131.69</v>
      </c>
      <c r="O12" s="63">
        <v>141.07</v>
      </c>
      <c r="P12" s="63">
        <v>150.44999999999999</v>
      </c>
      <c r="Q12" s="63">
        <v>151.19999999999999</v>
      </c>
      <c r="R12" s="63">
        <v>160.21</v>
      </c>
      <c r="S12" s="63">
        <v>169.53</v>
      </c>
      <c r="T12" s="63">
        <v>178.84</v>
      </c>
      <c r="U12" s="183">
        <v>180</v>
      </c>
    </row>
    <row r="13" spans="1:21" s="63" customFormat="1" x14ac:dyDescent="0.2">
      <c r="A13" s="300"/>
      <c r="B13" s="132">
        <v>914</v>
      </c>
      <c r="C13" s="132" t="s">
        <v>204</v>
      </c>
      <c r="D13" s="161">
        <v>66.91</v>
      </c>
      <c r="E13" s="161">
        <v>66.91</v>
      </c>
      <c r="F13" s="63">
        <v>67.66</v>
      </c>
      <c r="G13" s="63">
        <v>75.58</v>
      </c>
      <c r="H13" s="63">
        <v>90.23</v>
      </c>
      <c r="I13" s="63">
        <v>101.56</v>
      </c>
      <c r="J13" s="63">
        <v>112.81</v>
      </c>
      <c r="K13" s="63">
        <v>124.06</v>
      </c>
      <c r="L13" s="63">
        <v>135.38999999999999</v>
      </c>
      <c r="M13" s="63">
        <v>146.63999999999999</v>
      </c>
      <c r="N13" s="63">
        <v>157.97</v>
      </c>
      <c r="O13" s="63">
        <v>169.22</v>
      </c>
      <c r="P13" s="183">
        <v>172.69</v>
      </c>
      <c r="Q13" s="183">
        <v>173.55</v>
      </c>
      <c r="R13" s="183">
        <v>183.89</v>
      </c>
      <c r="S13" s="183">
        <v>194.58</v>
      </c>
      <c r="T13" s="183">
        <v>205.28</v>
      </c>
      <c r="U13" s="183">
        <v>215.9</v>
      </c>
    </row>
    <row r="14" spans="1:21" s="63" customFormat="1" x14ac:dyDescent="0.2">
      <c r="A14" s="300"/>
      <c r="B14" s="132">
        <v>1067</v>
      </c>
      <c r="C14" s="132" t="s">
        <v>205</v>
      </c>
      <c r="D14" s="161">
        <v>66.91</v>
      </c>
      <c r="E14" s="161">
        <v>66.91</v>
      </c>
      <c r="F14" s="63">
        <v>78.98</v>
      </c>
      <c r="G14" s="63">
        <v>88.23</v>
      </c>
      <c r="H14" s="63">
        <v>105.34</v>
      </c>
      <c r="I14" s="63">
        <v>118.56</v>
      </c>
      <c r="J14" s="63">
        <v>131.69</v>
      </c>
      <c r="K14" s="63">
        <v>144.83000000000001</v>
      </c>
      <c r="L14" s="63">
        <v>158.05000000000001</v>
      </c>
      <c r="M14" s="63">
        <v>171.18</v>
      </c>
      <c r="N14" s="183">
        <v>176.47</v>
      </c>
      <c r="O14" s="183">
        <v>189.04</v>
      </c>
      <c r="P14" s="183">
        <v>201.61</v>
      </c>
      <c r="Q14" s="183">
        <v>202.6</v>
      </c>
      <c r="R14" s="183">
        <v>214.67</v>
      </c>
      <c r="S14" s="183">
        <v>227.15</v>
      </c>
      <c r="T14" s="183">
        <v>239.64</v>
      </c>
      <c r="U14" s="183">
        <v>252.04</v>
      </c>
    </row>
    <row r="15" spans="1:21" s="63" customFormat="1" x14ac:dyDescent="0.2">
      <c r="A15" s="300"/>
      <c r="B15" s="132">
        <v>1219</v>
      </c>
      <c r="C15" s="132" t="s">
        <v>206</v>
      </c>
      <c r="D15" s="161">
        <v>66.91</v>
      </c>
      <c r="E15" s="63">
        <v>75.23</v>
      </c>
      <c r="F15" s="63">
        <v>90.23</v>
      </c>
      <c r="G15" s="63">
        <v>100.81</v>
      </c>
      <c r="H15" s="63">
        <v>120.34</v>
      </c>
      <c r="I15" s="63">
        <v>135.44999999999999</v>
      </c>
      <c r="J15" s="63">
        <v>150.44999999999999</v>
      </c>
      <c r="K15" s="63">
        <v>165.47</v>
      </c>
      <c r="L15" s="63">
        <v>180.57</v>
      </c>
      <c r="M15" s="183">
        <v>187.16</v>
      </c>
      <c r="N15" s="183">
        <v>201.61</v>
      </c>
      <c r="O15" s="183">
        <v>215.96</v>
      </c>
      <c r="P15" s="183">
        <v>230.33</v>
      </c>
      <c r="Q15" s="183">
        <v>231.46</v>
      </c>
      <c r="R15" s="183">
        <v>245.25</v>
      </c>
      <c r="S15" s="183">
        <v>259.52</v>
      </c>
      <c r="T15" s="183">
        <v>273.77999999999997</v>
      </c>
      <c r="U15" s="183">
        <v>287.95</v>
      </c>
    </row>
    <row r="16" spans="1:21" s="63" customFormat="1" x14ac:dyDescent="0.2">
      <c r="A16" s="300"/>
      <c r="B16" s="132">
        <v>1372</v>
      </c>
      <c r="C16" s="132" t="s">
        <v>207</v>
      </c>
      <c r="D16" s="63">
        <v>67.78</v>
      </c>
      <c r="E16" s="63">
        <v>84.67</v>
      </c>
      <c r="F16" s="63">
        <v>101.56</v>
      </c>
      <c r="G16" s="63">
        <v>113.46</v>
      </c>
      <c r="H16" s="63">
        <v>135.44999999999999</v>
      </c>
      <c r="I16" s="63">
        <v>152.44999999999999</v>
      </c>
      <c r="J16" s="63">
        <v>169.33</v>
      </c>
      <c r="K16" s="183">
        <v>178.2</v>
      </c>
      <c r="L16" s="183">
        <v>194.48</v>
      </c>
      <c r="M16" s="183">
        <v>210.64</v>
      </c>
      <c r="N16" s="183">
        <v>226.91</v>
      </c>
      <c r="O16" s="183">
        <v>243.07</v>
      </c>
      <c r="P16" s="183">
        <v>259.24</v>
      </c>
      <c r="Q16" s="183">
        <v>260.51</v>
      </c>
      <c r="R16" s="183">
        <v>276.02999999999997</v>
      </c>
      <c r="S16" s="183">
        <v>292.08999999999997</v>
      </c>
      <c r="T16" s="183">
        <v>308.14</v>
      </c>
      <c r="U16" s="183">
        <v>324.08999999999997</v>
      </c>
    </row>
    <row r="17" spans="1:40" s="63" customFormat="1" x14ac:dyDescent="0.2">
      <c r="A17" s="300"/>
      <c r="B17" s="132">
        <v>1524</v>
      </c>
      <c r="C17" s="132" t="s">
        <v>208</v>
      </c>
      <c r="D17" s="63">
        <v>75.290000000000006</v>
      </c>
      <c r="E17" s="63">
        <v>94.05</v>
      </c>
      <c r="F17" s="63">
        <v>112.81</v>
      </c>
      <c r="G17" s="63">
        <v>126.02</v>
      </c>
      <c r="H17" s="63">
        <v>150.44999999999999</v>
      </c>
      <c r="I17" s="63">
        <v>169.33</v>
      </c>
      <c r="J17" s="183">
        <v>180</v>
      </c>
      <c r="K17" s="183">
        <v>197.96</v>
      </c>
      <c r="L17" s="183">
        <v>216.02</v>
      </c>
      <c r="M17" s="183">
        <v>233.98</v>
      </c>
      <c r="N17" s="183">
        <v>252.04</v>
      </c>
      <c r="O17" s="183">
        <v>270</v>
      </c>
      <c r="P17" s="183">
        <v>287.95</v>
      </c>
      <c r="Q17" s="183">
        <v>289.37</v>
      </c>
      <c r="R17" s="183">
        <v>306.62</v>
      </c>
      <c r="S17" s="183">
        <v>324.45</v>
      </c>
      <c r="T17" s="183">
        <v>342.28</v>
      </c>
      <c r="U17" s="183">
        <v>360</v>
      </c>
    </row>
    <row r="18" spans="1:40" s="63" customFormat="1" x14ac:dyDescent="0.2">
      <c r="A18" s="300"/>
      <c r="B18" s="132">
        <v>1676</v>
      </c>
      <c r="C18" s="132" t="s">
        <v>209</v>
      </c>
      <c r="D18" s="63">
        <v>82.8</v>
      </c>
      <c r="E18" s="63">
        <v>103.43</v>
      </c>
      <c r="F18" s="63">
        <v>124.06</v>
      </c>
      <c r="G18" s="63">
        <v>138.59</v>
      </c>
      <c r="H18" s="63">
        <v>165.47</v>
      </c>
      <c r="I18" s="183">
        <v>178.2</v>
      </c>
      <c r="J18" s="183">
        <v>197.96</v>
      </c>
      <c r="K18" s="183">
        <v>217.69</v>
      </c>
      <c r="L18" s="183">
        <v>237.57</v>
      </c>
      <c r="M18" s="183">
        <v>257.31</v>
      </c>
      <c r="N18" s="183">
        <v>277.19</v>
      </c>
      <c r="O18" s="183">
        <v>296.93</v>
      </c>
      <c r="P18" s="183">
        <v>316.68</v>
      </c>
      <c r="Q18" s="183">
        <v>318.24</v>
      </c>
      <c r="R18" s="183">
        <v>337.2</v>
      </c>
      <c r="S18" s="183">
        <v>356.81</v>
      </c>
      <c r="T18" s="183">
        <v>376.43</v>
      </c>
      <c r="U18" s="183">
        <v>395.91</v>
      </c>
    </row>
    <row r="19" spans="1:40" s="63" customFormat="1" x14ac:dyDescent="0.2">
      <c r="A19" s="300"/>
      <c r="B19" s="132">
        <v>1829</v>
      </c>
      <c r="C19" s="132" t="s">
        <v>210</v>
      </c>
      <c r="D19" s="63">
        <v>90.36</v>
      </c>
      <c r="E19" s="63">
        <v>112.88</v>
      </c>
      <c r="F19" s="63">
        <v>135.38999999999999</v>
      </c>
      <c r="G19" s="63">
        <v>151.25</v>
      </c>
      <c r="H19" s="63">
        <v>180.57</v>
      </c>
      <c r="I19" s="183">
        <v>194.48</v>
      </c>
      <c r="J19" s="183">
        <v>216.02</v>
      </c>
      <c r="K19" s="183">
        <v>237.57</v>
      </c>
      <c r="L19" s="183">
        <v>259.26</v>
      </c>
      <c r="M19" s="183">
        <v>280.8</v>
      </c>
      <c r="N19" s="183">
        <v>302.49</v>
      </c>
      <c r="O19" s="183">
        <v>324.04000000000002</v>
      </c>
      <c r="P19" s="183">
        <v>345.59</v>
      </c>
      <c r="Q19" s="183">
        <v>347.29</v>
      </c>
      <c r="R19" s="183">
        <v>367.98</v>
      </c>
      <c r="S19" s="183">
        <v>389.39</v>
      </c>
      <c r="T19" s="183">
        <v>410.79</v>
      </c>
      <c r="U19" s="183">
        <v>432.05</v>
      </c>
    </row>
    <row r="20" spans="1:40" s="63" customFormat="1" x14ac:dyDescent="0.2">
      <c r="A20" s="300"/>
      <c r="B20" s="132">
        <v>1981</v>
      </c>
      <c r="C20" s="132" t="s">
        <v>211</v>
      </c>
      <c r="D20" s="63">
        <v>97.86</v>
      </c>
      <c r="E20" s="63">
        <v>122.26</v>
      </c>
      <c r="F20" s="63">
        <v>146.63999999999999</v>
      </c>
      <c r="G20" s="63">
        <v>163.81</v>
      </c>
      <c r="H20" s="183">
        <v>187.16</v>
      </c>
      <c r="I20" s="183">
        <v>210.64</v>
      </c>
      <c r="J20" s="183">
        <v>233.98</v>
      </c>
      <c r="K20" s="183">
        <v>257.31</v>
      </c>
      <c r="L20" s="183">
        <v>280.8</v>
      </c>
      <c r="M20" s="183">
        <v>304.13</v>
      </c>
      <c r="N20" s="183">
        <v>327.63</v>
      </c>
      <c r="O20" s="183">
        <v>350.97</v>
      </c>
      <c r="P20" s="183">
        <v>374.3</v>
      </c>
      <c r="Q20" s="183">
        <v>376.15</v>
      </c>
      <c r="R20" s="183">
        <v>398.56</v>
      </c>
      <c r="S20" s="183">
        <v>421.75</v>
      </c>
      <c r="T20" s="183">
        <v>444.93</v>
      </c>
      <c r="U20" s="183">
        <v>467.96</v>
      </c>
    </row>
    <row r="21" spans="1:40" s="63" customFormat="1" x14ac:dyDescent="0.2">
      <c r="A21" s="300"/>
      <c r="B21" s="132">
        <v>2134</v>
      </c>
      <c r="C21" s="132" t="s">
        <v>212</v>
      </c>
      <c r="D21" s="63">
        <v>105.43</v>
      </c>
      <c r="E21" s="63">
        <v>131.69</v>
      </c>
      <c r="F21" s="63">
        <v>157.97</v>
      </c>
      <c r="G21" s="183">
        <v>176.47</v>
      </c>
      <c r="H21" s="183">
        <v>201.61</v>
      </c>
      <c r="I21" s="183">
        <v>226.91</v>
      </c>
      <c r="J21" s="183">
        <v>252.04</v>
      </c>
      <c r="K21" s="183">
        <v>277.19</v>
      </c>
      <c r="L21" s="183">
        <v>302.49</v>
      </c>
      <c r="M21" s="183">
        <v>327.63</v>
      </c>
      <c r="N21" s="183">
        <v>352.93</v>
      </c>
      <c r="O21" s="183">
        <v>378.08</v>
      </c>
      <c r="P21" s="183">
        <v>403.21</v>
      </c>
      <c r="Q21" s="183">
        <v>405.2</v>
      </c>
      <c r="R21" s="183">
        <v>429.34</v>
      </c>
      <c r="S21" s="183">
        <v>454.32</v>
      </c>
      <c r="T21" s="183">
        <v>479.29</v>
      </c>
      <c r="U21" s="183">
        <v>504.1</v>
      </c>
    </row>
    <row r="22" spans="1:40" s="63" customFormat="1" x14ac:dyDescent="0.2">
      <c r="A22" s="300"/>
      <c r="B22" s="132">
        <v>2286</v>
      </c>
      <c r="C22" s="132" t="s">
        <v>213</v>
      </c>
      <c r="D22" s="63">
        <v>112.94</v>
      </c>
      <c r="E22" s="63">
        <v>141.07</v>
      </c>
      <c r="F22" s="63">
        <v>169.22</v>
      </c>
      <c r="G22" s="183">
        <v>189.04</v>
      </c>
      <c r="H22" s="183">
        <v>215.96</v>
      </c>
      <c r="I22" s="183">
        <v>243.08</v>
      </c>
      <c r="J22" s="183">
        <v>270.01</v>
      </c>
      <c r="K22" s="183">
        <v>296.93</v>
      </c>
      <c r="L22" s="183">
        <v>324.04000000000002</v>
      </c>
      <c r="M22" s="183">
        <v>350.97</v>
      </c>
      <c r="N22" s="183">
        <v>378.08</v>
      </c>
      <c r="O22" s="183">
        <v>405</v>
      </c>
      <c r="P22" s="183">
        <v>431.94</v>
      </c>
      <c r="Q22" s="183">
        <v>434.06</v>
      </c>
      <c r="R22" s="183">
        <v>459.92</v>
      </c>
      <c r="S22" s="183">
        <v>486.67</v>
      </c>
      <c r="T22" s="183">
        <v>513.42999999999995</v>
      </c>
      <c r="U22" s="183">
        <v>540</v>
      </c>
    </row>
    <row r="23" spans="1:40" s="63" customFormat="1" x14ac:dyDescent="0.2">
      <c r="A23" s="300"/>
      <c r="B23" s="132">
        <v>2438</v>
      </c>
      <c r="C23" s="132" t="s">
        <v>214</v>
      </c>
      <c r="D23" s="63">
        <v>120.44</v>
      </c>
      <c r="E23" s="63">
        <v>150.44999999999999</v>
      </c>
      <c r="F23" s="63">
        <v>180.47</v>
      </c>
      <c r="G23" s="183">
        <v>201.61</v>
      </c>
      <c r="H23" s="183">
        <v>230.33</v>
      </c>
      <c r="I23" s="183">
        <v>259.24</v>
      </c>
      <c r="J23" s="183">
        <v>287.95</v>
      </c>
      <c r="K23" s="183">
        <v>316.68</v>
      </c>
      <c r="L23" s="183">
        <v>345.59</v>
      </c>
      <c r="M23" s="183">
        <v>374.3</v>
      </c>
      <c r="N23" s="183">
        <v>403.21</v>
      </c>
      <c r="O23" s="183">
        <v>431.94</v>
      </c>
      <c r="P23" s="183">
        <v>460.65</v>
      </c>
      <c r="Q23" s="183">
        <v>462.92</v>
      </c>
      <c r="R23" s="183">
        <v>490.51</v>
      </c>
      <c r="S23" s="183">
        <v>519.03</v>
      </c>
      <c r="T23" s="183">
        <v>547.55999999999995</v>
      </c>
      <c r="U23" s="183">
        <v>575.91</v>
      </c>
    </row>
    <row r="24" spans="1:40" s="63" customFormat="1" x14ac:dyDescent="0.2">
      <c r="A24" s="300"/>
      <c r="B24" s="132">
        <v>2591</v>
      </c>
      <c r="C24" s="132" t="s">
        <v>221</v>
      </c>
      <c r="D24" s="63">
        <v>128</v>
      </c>
      <c r="E24" s="63">
        <v>159.9</v>
      </c>
      <c r="F24" s="183">
        <v>183.53</v>
      </c>
      <c r="G24" s="183">
        <v>214.25</v>
      </c>
      <c r="H24" s="183">
        <v>244.78</v>
      </c>
      <c r="I24" s="183">
        <v>275.5</v>
      </c>
      <c r="J24" s="183">
        <v>306.02999999999997</v>
      </c>
      <c r="K24" s="183">
        <v>336.54</v>
      </c>
      <c r="L24" s="183">
        <v>367.27</v>
      </c>
      <c r="M24" s="183">
        <v>397.79</v>
      </c>
      <c r="N24" s="183">
        <v>428.52</v>
      </c>
      <c r="O24" s="183">
        <v>459.04</v>
      </c>
      <c r="P24" s="183">
        <v>489.56</v>
      </c>
      <c r="Q24" s="183">
        <v>491.97</v>
      </c>
      <c r="R24" s="183">
        <v>521.29</v>
      </c>
      <c r="S24" s="183">
        <v>551.6</v>
      </c>
      <c r="T24" s="183">
        <v>581.91999999999996</v>
      </c>
      <c r="U24" s="184" t="s">
        <v>306</v>
      </c>
      <c r="AN24" s="186"/>
    </row>
    <row r="25" spans="1:40" s="63" customFormat="1" x14ac:dyDescent="0.2">
      <c r="A25" s="300"/>
      <c r="B25" s="132">
        <v>2743</v>
      </c>
      <c r="C25" s="132" t="s">
        <v>222</v>
      </c>
      <c r="D25" s="63">
        <v>135.52000000000001</v>
      </c>
      <c r="E25" s="63">
        <v>169.28</v>
      </c>
      <c r="F25" s="183">
        <v>194.31</v>
      </c>
      <c r="G25" s="183">
        <v>226.83</v>
      </c>
      <c r="H25" s="183">
        <v>259.14</v>
      </c>
      <c r="I25" s="183">
        <v>291.66000000000003</v>
      </c>
      <c r="J25" s="183">
        <v>323.98</v>
      </c>
      <c r="K25" s="183">
        <v>356.29</v>
      </c>
      <c r="L25" s="183">
        <v>388.82</v>
      </c>
      <c r="M25" s="183">
        <v>421.12</v>
      </c>
      <c r="N25" s="183">
        <v>453.65</v>
      </c>
      <c r="O25" s="183">
        <v>485.97</v>
      </c>
      <c r="P25" s="183">
        <v>518.28</v>
      </c>
      <c r="Q25" s="183">
        <v>520.84</v>
      </c>
      <c r="R25" s="183">
        <v>551.87</v>
      </c>
      <c r="S25" s="183">
        <v>583.97</v>
      </c>
      <c r="T25" s="184" t="s">
        <v>306</v>
      </c>
      <c r="U25" s="184" t="s">
        <v>306</v>
      </c>
      <c r="AM25" s="186"/>
      <c r="AN25" s="186"/>
    </row>
    <row r="26" spans="1:40" s="63" customFormat="1" x14ac:dyDescent="0.2">
      <c r="A26" s="300"/>
      <c r="B26" s="132">
        <v>2896</v>
      </c>
      <c r="C26" s="132" t="s">
        <v>223</v>
      </c>
      <c r="D26" s="63">
        <v>143.07</v>
      </c>
      <c r="E26" s="63">
        <v>178.72</v>
      </c>
      <c r="F26" s="183">
        <v>205.14</v>
      </c>
      <c r="G26" s="183">
        <v>239.48</v>
      </c>
      <c r="H26" s="183">
        <v>273.60000000000002</v>
      </c>
      <c r="I26" s="183">
        <v>307.93</v>
      </c>
      <c r="J26" s="183">
        <v>342.05</v>
      </c>
      <c r="K26" s="183">
        <v>376.16</v>
      </c>
      <c r="L26" s="183">
        <v>410.5</v>
      </c>
      <c r="M26" s="183">
        <v>444.62</v>
      </c>
      <c r="N26" s="183">
        <v>478.96</v>
      </c>
      <c r="O26" s="183">
        <v>513.07000000000005</v>
      </c>
      <c r="P26" s="183">
        <v>547.20000000000005</v>
      </c>
      <c r="Q26" s="183">
        <v>549.88</v>
      </c>
      <c r="R26" s="183">
        <v>582.65</v>
      </c>
      <c r="S26" s="184" t="s">
        <v>306</v>
      </c>
      <c r="T26" s="184" t="s">
        <v>306</v>
      </c>
      <c r="U26" s="184" t="s">
        <v>306</v>
      </c>
      <c r="AL26" s="186"/>
      <c r="AM26" s="186"/>
      <c r="AN26" s="186"/>
    </row>
    <row r="27" spans="1:40" s="63" customFormat="1" x14ac:dyDescent="0.2">
      <c r="A27" s="300"/>
      <c r="B27" s="132">
        <v>3048</v>
      </c>
      <c r="C27" s="132" t="s">
        <v>224</v>
      </c>
      <c r="D27" s="63">
        <v>150.58000000000001</v>
      </c>
      <c r="E27" s="183">
        <v>180</v>
      </c>
      <c r="F27" s="183">
        <v>215.9</v>
      </c>
      <c r="G27" s="183">
        <v>252.04</v>
      </c>
      <c r="H27" s="183">
        <v>287.95</v>
      </c>
      <c r="I27" s="183">
        <v>324.08999999999997</v>
      </c>
      <c r="J27" s="183">
        <v>360</v>
      </c>
      <c r="K27" s="183">
        <v>395.91</v>
      </c>
      <c r="L27" s="183">
        <v>432.05</v>
      </c>
      <c r="M27" s="183">
        <v>467.96</v>
      </c>
      <c r="N27" s="183">
        <v>504.1</v>
      </c>
      <c r="O27" s="183">
        <v>540</v>
      </c>
      <c r="P27" s="183">
        <v>575.91</v>
      </c>
      <c r="Q27" s="184" t="s">
        <v>306</v>
      </c>
      <c r="R27" s="184" t="s">
        <v>306</v>
      </c>
      <c r="S27" s="184" t="s">
        <v>306</v>
      </c>
      <c r="T27" s="184" t="s">
        <v>306</v>
      </c>
      <c r="U27" s="184" t="s">
        <v>306</v>
      </c>
      <c r="AJ27" s="186"/>
      <c r="AK27" s="186"/>
      <c r="AL27" s="186"/>
      <c r="AM27" s="186"/>
      <c r="AN27" s="186"/>
    </row>
    <row r="28" spans="1:40" s="63" customFormat="1" x14ac:dyDescent="0.2">
      <c r="A28" s="126"/>
      <c r="B28" s="127"/>
      <c r="C28" s="127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</row>
    <row r="29" spans="1:40" s="63" customFormat="1" x14ac:dyDescent="0.2">
      <c r="A29" s="126"/>
      <c r="B29" s="127"/>
      <c r="C29" s="127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</row>
    <row r="30" spans="1:40" s="63" customFormat="1" x14ac:dyDescent="0.2">
      <c r="A30" s="126"/>
      <c r="B30" s="127"/>
      <c r="C30" s="127"/>
      <c r="D30" s="60">
        <v>0</v>
      </c>
      <c r="E30" s="63">
        <v>83.490000000000009</v>
      </c>
      <c r="F30" s="128"/>
      <c r="G30" s="158" t="s">
        <v>267</v>
      </c>
      <c r="H30" s="128"/>
      <c r="I30" s="128">
        <v>73.42</v>
      </c>
      <c r="J30" s="128"/>
      <c r="L30" s="128"/>
      <c r="M30" s="128"/>
      <c r="N30" s="128"/>
      <c r="O30" s="128"/>
      <c r="P30" s="128"/>
      <c r="Q30" s="128"/>
    </row>
    <row r="31" spans="1:40" s="63" customFormat="1" x14ac:dyDescent="0.2">
      <c r="A31" s="126"/>
      <c r="B31" s="127"/>
      <c r="C31" s="127"/>
      <c r="D31" s="128"/>
      <c r="E31" s="128"/>
      <c r="F31" s="128"/>
      <c r="G31" s="157" t="s">
        <v>268</v>
      </c>
      <c r="H31" s="128"/>
      <c r="I31" s="128"/>
      <c r="J31" s="128"/>
      <c r="K31" s="128"/>
      <c r="L31" s="128"/>
      <c r="M31" s="128"/>
      <c r="N31" s="128"/>
      <c r="O31" s="128"/>
      <c r="P31" s="128"/>
      <c r="Q31" s="128"/>
    </row>
    <row r="32" spans="1:40" s="63" customFormat="1" x14ac:dyDescent="0.2">
      <c r="A32" s="134"/>
      <c r="B32" s="133"/>
      <c r="C32" s="133"/>
      <c r="G32" s="305" t="s">
        <v>269</v>
      </c>
      <c r="H32" s="301"/>
      <c r="I32" s="159"/>
    </row>
    <row r="33" spans="1:21" s="63" customFormat="1" x14ac:dyDescent="0.2">
      <c r="D33" s="302" t="s">
        <v>201</v>
      </c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</row>
    <row r="34" spans="1:21" s="63" customFormat="1" x14ac:dyDescent="0.2">
      <c r="A34" s="129" t="s">
        <v>226</v>
      </c>
      <c r="D34" s="130">
        <f>SUM(D35*B40)/1000000</f>
        <v>0.65086999999999995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298"/>
      <c r="R34" s="299"/>
      <c r="S34" s="299"/>
      <c r="T34" s="299"/>
      <c r="U34" s="299"/>
    </row>
    <row r="35" spans="1:21" s="63" customFormat="1" x14ac:dyDescent="0.2">
      <c r="A35" s="131"/>
      <c r="B35" s="131"/>
      <c r="C35" s="131"/>
      <c r="D35" s="132">
        <v>610</v>
      </c>
      <c r="E35" s="132">
        <v>762</v>
      </c>
      <c r="F35" s="132">
        <v>914</v>
      </c>
      <c r="G35" s="132">
        <v>1067</v>
      </c>
      <c r="H35" s="132">
        <v>1219</v>
      </c>
      <c r="I35" s="132">
        <v>1372</v>
      </c>
      <c r="J35" s="132">
        <v>1524</v>
      </c>
      <c r="K35" s="132">
        <v>1676</v>
      </c>
      <c r="L35" s="132">
        <v>1829</v>
      </c>
      <c r="M35" s="132">
        <v>1981</v>
      </c>
      <c r="N35" s="132">
        <v>2134</v>
      </c>
      <c r="O35" s="132">
        <v>2286</v>
      </c>
      <c r="P35" s="132">
        <v>2438</v>
      </c>
      <c r="Q35" s="133">
        <v>2450</v>
      </c>
      <c r="R35" s="63">
        <v>2596</v>
      </c>
      <c r="S35" s="63">
        <v>2747</v>
      </c>
      <c r="T35" s="63">
        <v>2898</v>
      </c>
      <c r="U35" s="63">
        <v>3048</v>
      </c>
    </row>
    <row r="36" spans="1:21" s="63" customFormat="1" x14ac:dyDescent="0.2">
      <c r="A36" s="131"/>
      <c r="B36" s="131"/>
      <c r="C36" s="131"/>
      <c r="D36" s="132" t="s">
        <v>202</v>
      </c>
      <c r="E36" s="132" t="s">
        <v>203</v>
      </c>
      <c r="F36" s="132" t="s">
        <v>204</v>
      </c>
      <c r="G36" s="132" t="s">
        <v>205</v>
      </c>
      <c r="H36" s="132" t="s">
        <v>206</v>
      </c>
      <c r="I36" s="132" t="s">
        <v>207</v>
      </c>
      <c r="J36" s="132" t="s">
        <v>208</v>
      </c>
      <c r="K36" s="132" t="s">
        <v>209</v>
      </c>
      <c r="L36" s="132" t="s">
        <v>210</v>
      </c>
      <c r="M36" s="132" t="s">
        <v>211</v>
      </c>
      <c r="N36" s="132" t="s">
        <v>212</v>
      </c>
      <c r="O36" s="132" t="s">
        <v>213</v>
      </c>
      <c r="P36" s="132" t="s">
        <v>214</v>
      </c>
      <c r="Q36" s="133" t="s">
        <v>215</v>
      </c>
      <c r="R36" s="63" t="s">
        <v>216</v>
      </c>
      <c r="S36" s="63" t="s">
        <v>217</v>
      </c>
      <c r="T36" s="63" t="s">
        <v>218</v>
      </c>
      <c r="U36" s="63" t="s">
        <v>219</v>
      </c>
    </row>
    <row r="37" spans="1:21" s="63" customFormat="1" x14ac:dyDescent="0.2">
      <c r="A37" s="300" t="s">
        <v>220</v>
      </c>
      <c r="B37" s="132">
        <v>610</v>
      </c>
      <c r="C37" s="132" t="s">
        <v>202</v>
      </c>
      <c r="D37" s="185">
        <v>73.42</v>
      </c>
      <c r="E37" s="185">
        <v>73.42</v>
      </c>
      <c r="F37" s="185">
        <v>73.42</v>
      </c>
      <c r="G37" s="185">
        <v>73.42</v>
      </c>
      <c r="H37" s="185">
        <v>73.42</v>
      </c>
      <c r="I37" s="63">
        <v>76.67</v>
      </c>
      <c r="J37" s="63">
        <v>85.16</v>
      </c>
      <c r="K37" s="63">
        <v>93.66</v>
      </c>
      <c r="L37" s="63">
        <v>102.21</v>
      </c>
      <c r="M37" s="63">
        <v>110.71</v>
      </c>
      <c r="N37" s="63">
        <v>119.25</v>
      </c>
      <c r="O37" s="63">
        <v>127.74</v>
      </c>
      <c r="P37" s="63">
        <v>136.24</v>
      </c>
      <c r="Q37" s="63">
        <v>136.91</v>
      </c>
      <c r="R37" s="63">
        <v>145.07</v>
      </c>
      <c r="S37" s="63">
        <v>153.51</v>
      </c>
      <c r="T37" s="63">
        <v>161.94</v>
      </c>
      <c r="U37" s="63">
        <v>170.33</v>
      </c>
    </row>
    <row r="38" spans="1:21" s="63" customFormat="1" x14ac:dyDescent="0.2">
      <c r="A38" s="301"/>
      <c r="B38" s="132">
        <v>762</v>
      </c>
      <c r="C38" s="132" t="s">
        <v>203</v>
      </c>
      <c r="D38" s="185">
        <v>73.42</v>
      </c>
      <c r="E38" s="185">
        <v>73.42</v>
      </c>
      <c r="F38" s="185">
        <v>73.42</v>
      </c>
      <c r="G38" s="185">
        <v>73.42</v>
      </c>
      <c r="H38" s="63">
        <v>85.09</v>
      </c>
      <c r="I38" s="63">
        <v>95.77</v>
      </c>
      <c r="J38" s="63">
        <v>106.39</v>
      </c>
      <c r="K38" s="63">
        <v>116.99</v>
      </c>
      <c r="L38" s="63">
        <v>127.67</v>
      </c>
      <c r="M38" s="63">
        <v>138.29</v>
      </c>
      <c r="N38" s="63">
        <v>148.97</v>
      </c>
      <c r="O38" s="63">
        <v>159.57</v>
      </c>
      <c r="P38" s="63">
        <v>170.19</v>
      </c>
      <c r="Q38" s="63">
        <v>171.02</v>
      </c>
      <c r="R38" s="183">
        <v>173.41</v>
      </c>
      <c r="S38" s="183">
        <v>183.49</v>
      </c>
      <c r="T38" s="183">
        <v>193.59</v>
      </c>
      <c r="U38" s="183">
        <v>203.6</v>
      </c>
    </row>
    <row r="39" spans="1:21" s="63" customFormat="1" x14ac:dyDescent="0.2">
      <c r="A39" s="301"/>
      <c r="B39" s="132">
        <v>914</v>
      </c>
      <c r="C39" s="132" t="s">
        <v>204</v>
      </c>
      <c r="D39" s="185">
        <v>73.42</v>
      </c>
      <c r="E39" s="185">
        <v>73.42</v>
      </c>
      <c r="F39" s="63">
        <v>76.53</v>
      </c>
      <c r="G39" s="63">
        <v>89.34</v>
      </c>
      <c r="H39" s="63">
        <v>102.07</v>
      </c>
      <c r="I39" s="63">
        <v>114.88</v>
      </c>
      <c r="J39" s="63">
        <v>127.6</v>
      </c>
      <c r="K39" s="63">
        <v>140.33000000000001</v>
      </c>
      <c r="L39" s="63">
        <v>153.13999999999999</v>
      </c>
      <c r="M39" s="63">
        <v>165.87</v>
      </c>
      <c r="N39" s="63">
        <v>178.68</v>
      </c>
      <c r="O39" s="183">
        <v>183.17</v>
      </c>
      <c r="P39" s="183">
        <v>195.35</v>
      </c>
      <c r="Q39" s="183">
        <v>196.3</v>
      </c>
      <c r="R39" s="183">
        <v>208</v>
      </c>
      <c r="S39" s="183">
        <v>220.11</v>
      </c>
      <c r="T39" s="183">
        <v>232.2</v>
      </c>
      <c r="U39" s="183">
        <v>244.22</v>
      </c>
    </row>
    <row r="40" spans="1:21" s="63" customFormat="1" x14ac:dyDescent="0.2">
      <c r="A40" s="301"/>
      <c r="B40" s="132">
        <v>1067</v>
      </c>
      <c r="C40" s="132" t="s">
        <v>205</v>
      </c>
      <c r="D40" s="185">
        <v>73.42</v>
      </c>
      <c r="E40" s="63">
        <v>74.489999999999995</v>
      </c>
      <c r="F40" s="63">
        <v>89.34</v>
      </c>
      <c r="G40" s="63">
        <v>104.3</v>
      </c>
      <c r="H40" s="63">
        <v>119.15</v>
      </c>
      <c r="I40" s="63">
        <v>134.11000000000001</v>
      </c>
      <c r="J40" s="63">
        <v>148.97</v>
      </c>
      <c r="K40" s="63">
        <v>163.83000000000001</v>
      </c>
      <c r="L40" s="63">
        <v>178.78</v>
      </c>
      <c r="M40" s="183">
        <v>185.3</v>
      </c>
      <c r="N40" s="183">
        <v>199.61</v>
      </c>
      <c r="O40" s="183">
        <v>213.83</v>
      </c>
      <c r="P40" s="183">
        <v>228.04</v>
      </c>
      <c r="Q40" s="183">
        <v>229.16</v>
      </c>
      <c r="R40" s="183">
        <v>242.83</v>
      </c>
      <c r="S40" s="183">
        <v>256.95</v>
      </c>
      <c r="T40" s="183">
        <v>271.08</v>
      </c>
      <c r="U40" s="183">
        <v>285.10000000000002</v>
      </c>
    </row>
    <row r="41" spans="1:21" s="63" customFormat="1" x14ac:dyDescent="0.2">
      <c r="A41" s="301"/>
      <c r="B41" s="132">
        <v>1219</v>
      </c>
      <c r="C41" s="132" t="s">
        <v>206</v>
      </c>
      <c r="D41" s="185">
        <v>73.42</v>
      </c>
      <c r="E41" s="63">
        <v>85.09</v>
      </c>
      <c r="F41" s="63">
        <v>102.07</v>
      </c>
      <c r="G41" s="63">
        <v>119.15</v>
      </c>
      <c r="H41" s="63">
        <v>136.13</v>
      </c>
      <c r="I41" s="63">
        <v>153.21</v>
      </c>
      <c r="J41" s="63">
        <v>170.19</v>
      </c>
      <c r="K41" s="183">
        <v>179.11</v>
      </c>
      <c r="L41" s="183">
        <v>195.45</v>
      </c>
      <c r="M41" s="183">
        <v>211.7</v>
      </c>
      <c r="N41" s="183">
        <v>228.04</v>
      </c>
      <c r="O41" s="183">
        <v>244.29</v>
      </c>
      <c r="P41" s="183">
        <v>260.52999999999997</v>
      </c>
      <c r="Q41" s="183">
        <v>261.82</v>
      </c>
      <c r="R41" s="183">
        <v>277.42</v>
      </c>
      <c r="S41" s="183">
        <v>293.55</v>
      </c>
      <c r="T41" s="183">
        <v>309.69</v>
      </c>
      <c r="U41" s="183">
        <v>325.72000000000003</v>
      </c>
    </row>
    <row r="42" spans="1:21" s="63" customFormat="1" x14ac:dyDescent="0.2">
      <c r="A42" s="301"/>
      <c r="B42" s="132">
        <v>1372</v>
      </c>
      <c r="C42" s="132" t="s">
        <v>207</v>
      </c>
      <c r="D42" s="63">
        <v>76.67</v>
      </c>
      <c r="E42" s="63">
        <v>95.77</v>
      </c>
      <c r="F42" s="63">
        <v>114.88</v>
      </c>
      <c r="G42" s="63">
        <v>134.11000000000001</v>
      </c>
      <c r="H42" s="63">
        <v>153.21</v>
      </c>
      <c r="I42" s="63">
        <v>172.44</v>
      </c>
      <c r="J42" s="183">
        <v>183.3</v>
      </c>
      <c r="K42" s="183">
        <v>201.58</v>
      </c>
      <c r="L42" s="183">
        <v>219.98</v>
      </c>
      <c r="M42" s="183">
        <v>238.26</v>
      </c>
      <c r="N42" s="183">
        <v>256.66000000000003</v>
      </c>
      <c r="O42" s="183">
        <v>274.95</v>
      </c>
      <c r="P42" s="183">
        <v>293.23</v>
      </c>
      <c r="Q42" s="183">
        <v>294.68</v>
      </c>
      <c r="R42" s="183">
        <v>312.23</v>
      </c>
      <c r="S42" s="183">
        <v>330.4</v>
      </c>
      <c r="T42" s="183">
        <v>348.56</v>
      </c>
      <c r="U42" s="183">
        <v>366.6</v>
      </c>
    </row>
    <row r="43" spans="1:21" s="63" customFormat="1" x14ac:dyDescent="0.2">
      <c r="A43" s="301"/>
      <c r="B43" s="132">
        <v>1524</v>
      </c>
      <c r="C43" s="132" t="s">
        <v>208</v>
      </c>
      <c r="D43" s="63">
        <v>85.16</v>
      </c>
      <c r="E43" s="63">
        <v>106.39</v>
      </c>
      <c r="F43" s="63">
        <v>127.6</v>
      </c>
      <c r="G43" s="63">
        <v>148.97</v>
      </c>
      <c r="H43" s="63">
        <v>170.19</v>
      </c>
      <c r="I43" s="183">
        <v>183.3</v>
      </c>
      <c r="J43" s="183">
        <v>203.6</v>
      </c>
      <c r="K43" s="183">
        <v>223.92</v>
      </c>
      <c r="L43" s="183">
        <v>244.35</v>
      </c>
      <c r="M43" s="183">
        <v>264.67</v>
      </c>
      <c r="N43" s="183">
        <v>285.10000000000002</v>
      </c>
      <c r="O43" s="183">
        <v>305.42</v>
      </c>
      <c r="P43" s="183">
        <v>325.72000000000003</v>
      </c>
      <c r="Q43" s="183">
        <v>327.33</v>
      </c>
      <c r="R43" s="183">
        <v>346.82</v>
      </c>
      <c r="S43" s="183">
        <v>367</v>
      </c>
      <c r="T43" s="183">
        <v>387.18</v>
      </c>
      <c r="U43" s="183">
        <v>407.22</v>
      </c>
    </row>
    <row r="44" spans="1:21" s="63" customFormat="1" x14ac:dyDescent="0.2">
      <c r="A44" s="301"/>
      <c r="B44" s="132">
        <v>1676</v>
      </c>
      <c r="C44" s="132" t="s">
        <v>209</v>
      </c>
      <c r="D44" s="63">
        <v>93.66</v>
      </c>
      <c r="E44" s="63">
        <v>116.99</v>
      </c>
      <c r="F44" s="63">
        <v>140.33000000000001</v>
      </c>
      <c r="G44" s="63">
        <v>163.83000000000001</v>
      </c>
      <c r="H44" s="183">
        <v>179.11</v>
      </c>
      <c r="I44" s="183">
        <v>201.58</v>
      </c>
      <c r="J44" s="183">
        <v>223.92</v>
      </c>
      <c r="K44" s="183">
        <v>246.25</v>
      </c>
      <c r="L44" s="183">
        <v>268.72000000000003</v>
      </c>
      <c r="M44" s="183">
        <v>291.06</v>
      </c>
      <c r="N44" s="183">
        <v>313.54000000000002</v>
      </c>
      <c r="O44" s="183">
        <v>335.87</v>
      </c>
      <c r="P44" s="183">
        <v>358.2</v>
      </c>
      <c r="Q44" s="183">
        <v>359.97</v>
      </c>
      <c r="R44" s="183">
        <v>381.42</v>
      </c>
      <c r="S44" s="183">
        <v>403.6</v>
      </c>
      <c r="T44" s="183">
        <v>425.79</v>
      </c>
      <c r="U44" s="183">
        <v>447.83</v>
      </c>
    </row>
    <row r="45" spans="1:21" s="63" customFormat="1" x14ac:dyDescent="0.2">
      <c r="A45" s="301"/>
      <c r="B45" s="132">
        <v>1829</v>
      </c>
      <c r="C45" s="132" t="s">
        <v>210</v>
      </c>
      <c r="D45" s="63">
        <v>102.21</v>
      </c>
      <c r="E45" s="63">
        <v>127.67</v>
      </c>
      <c r="F45" s="63">
        <v>153.13999999999999</v>
      </c>
      <c r="G45" s="63">
        <v>178.78</v>
      </c>
      <c r="H45" s="183">
        <v>195.45</v>
      </c>
      <c r="I45" s="183">
        <v>219.98</v>
      </c>
      <c r="J45" s="183">
        <v>244.35</v>
      </c>
      <c r="K45" s="183">
        <v>268.72000000000003</v>
      </c>
      <c r="L45" s="183">
        <v>293.25</v>
      </c>
      <c r="M45" s="183">
        <v>317.63</v>
      </c>
      <c r="N45" s="183">
        <v>342.16</v>
      </c>
      <c r="O45" s="183">
        <v>366.54</v>
      </c>
      <c r="P45" s="183">
        <v>390.91</v>
      </c>
      <c r="Q45" s="183">
        <v>392.83</v>
      </c>
      <c r="R45" s="183">
        <v>416.24</v>
      </c>
      <c r="S45" s="183">
        <v>440.44</v>
      </c>
      <c r="T45" s="183">
        <v>464.66</v>
      </c>
      <c r="U45" s="183">
        <v>488.72</v>
      </c>
    </row>
    <row r="46" spans="1:21" s="63" customFormat="1" x14ac:dyDescent="0.2">
      <c r="A46" s="301"/>
      <c r="B46" s="132">
        <v>1981</v>
      </c>
      <c r="C46" s="132" t="s">
        <v>211</v>
      </c>
      <c r="D46" s="63">
        <v>110.71</v>
      </c>
      <c r="E46" s="63">
        <v>138.29</v>
      </c>
      <c r="F46" s="63">
        <v>165.87</v>
      </c>
      <c r="G46" s="183">
        <v>185.3</v>
      </c>
      <c r="H46" s="183">
        <v>211.7</v>
      </c>
      <c r="I46" s="183">
        <v>238.26</v>
      </c>
      <c r="J46" s="183">
        <v>264.67</v>
      </c>
      <c r="K46" s="183">
        <v>291.06</v>
      </c>
      <c r="L46" s="183">
        <v>317.63</v>
      </c>
      <c r="M46" s="183">
        <v>344.03</v>
      </c>
      <c r="N46" s="183">
        <v>370.59</v>
      </c>
      <c r="O46" s="183">
        <v>397</v>
      </c>
      <c r="P46" s="183">
        <v>423.39</v>
      </c>
      <c r="Q46" s="183">
        <v>425.48</v>
      </c>
      <c r="R46" s="183">
        <v>450.83</v>
      </c>
      <c r="S46" s="183">
        <v>477.05</v>
      </c>
      <c r="T46" s="183">
        <v>503.28</v>
      </c>
      <c r="U46" s="183">
        <v>529.32000000000005</v>
      </c>
    </row>
    <row r="47" spans="1:21" s="63" customFormat="1" x14ac:dyDescent="0.2">
      <c r="A47" s="301"/>
      <c r="B47" s="132">
        <v>2134</v>
      </c>
      <c r="C47" s="132" t="s">
        <v>212</v>
      </c>
      <c r="D47" s="63">
        <v>119.25</v>
      </c>
      <c r="E47" s="63">
        <v>148.97</v>
      </c>
      <c r="F47" s="63">
        <v>178.68</v>
      </c>
      <c r="G47" s="183">
        <v>199.61</v>
      </c>
      <c r="H47" s="183">
        <v>228.04</v>
      </c>
      <c r="I47" s="183">
        <v>256.66000000000003</v>
      </c>
      <c r="J47" s="183">
        <v>285.10000000000002</v>
      </c>
      <c r="K47" s="183">
        <v>313.54000000000002</v>
      </c>
      <c r="L47" s="183">
        <v>342.16</v>
      </c>
      <c r="M47" s="183">
        <v>370.59</v>
      </c>
      <c r="N47" s="183">
        <v>399.23</v>
      </c>
      <c r="O47" s="183">
        <v>427.65</v>
      </c>
      <c r="P47" s="183">
        <v>456.09</v>
      </c>
      <c r="Q47" s="183">
        <v>458.34</v>
      </c>
      <c r="R47" s="183">
        <v>485.65</v>
      </c>
      <c r="S47" s="183">
        <v>513.89</v>
      </c>
      <c r="T47" s="183">
        <v>542.15</v>
      </c>
      <c r="U47" s="183">
        <v>570.21</v>
      </c>
    </row>
    <row r="48" spans="1:21" s="63" customFormat="1" x14ac:dyDescent="0.2">
      <c r="A48" s="301"/>
      <c r="B48" s="132">
        <v>2286</v>
      </c>
      <c r="C48" s="132" t="s">
        <v>213</v>
      </c>
      <c r="D48" s="63">
        <v>127.74</v>
      </c>
      <c r="E48" s="63">
        <v>159.57</v>
      </c>
      <c r="F48" s="183">
        <v>183.17</v>
      </c>
      <c r="G48" s="183">
        <v>213.83</v>
      </c>
      <c r="H48" s="183">
        <v>244.29</v>
      </c>
      <c r="I48" s="183">
        <v>274.95</v>
      </c>
      <c r="J48" s="183">
        <v>305.42</v>
      </c>
      <c r="K48" s="183">
        <v>335.87</v>
      </c>
      <c r="L48" s="183">
        <v>366.54</v>
      </c>
      <c r="M48" s="183">
        <v>397</v>
      </c>
      <c r="N48" s="183">
        <v>427.65</v>
      </c>
      <c r="O48" s="183">
        <v>458.12</v>
      </c>
      <c r="P48" s="183">
        <v>488.58</v>
      </c>
      <c r="Q48" s="183">
        <v>490.98</v>
      </c>
      <c r="R48" s="183">
        <v>520.25</v>
      </c>
      <c r="S48" s="183">
        <v>550.5</v>
      </c>
      <c r="T48" s="183">
        <v>580.76</v>
      </c>
      <c r="U48" s="183">
        <v>610.83000000000004</v>
      </c>
    </row>
    <row r="49" spans="1:40" s="63" customFormat="1" x14ac:dyDescent="0.2">
      <c r="A49" s="301"/>
      <c r="B49" s="132">
        <v>2438</v>
      </c>
      <c r="C49" s="132" t="s">
        <v>214</v>
      </c>
      <c r="D49" s="63">
        <v>136.24</v>
      </c>
      <c r="E49" s="63">
        <v>170.19</v>
      </c>
      <c r="F49" s="183">
        <v>195.34</v>
      </c>
      <c r="G49" s="183">
        <v>228.04</v>
      </c>
      <c r="H49" s="183">
        <v>260.52999999999997</v>
      </c>
      <c r="I49" s="183">
        <v>293.23</v>
      </c>
      <c r="J49" s="183">
        <v>325.72000000000003</v>
      </c>
      <c r="K49" s="183">
        <v>358.2</v>
      </c>
      <c r="L49" s="183">
        <v>390.91</v>
      </c>
      <c r="M49" s="183">
        <v>423.39</v>
      </c>
      <c r="N49" s="183">
        <v>456.09</v>
      </c>
      <c r="O49" s="183">
        <v>488.58</v>
      </c>
      <c r="P49" s="183">
        <v>521.07000000000005</v>
      </c>
      <c r="Q49" s="183">
        <v>523.63</v>
      </c>
      <c r="R49" s="183">
        <v>554.83000000000004</v>
      </c>
      <c r="S49" s="183">
        <v>587.11</v>
      </c>
      <c r="T49" s="183">
        <v>619.38</v>
      </c>
      <c r="U49" s="183">
        <v>651.42999999999995</v>
      </c>
    </row>
    <row r="50" spans="1:40" s="63" customFormat="1" x14ac:dyDescent="0.2">
      <c r="A50" s="301"/>
      <c r="B50" s="132">
        <v>2591</v>
      </c>
      <c r="C50" s="132" t="s">
        <v>221</v>
      </c>
      <c r="D50" s="63">
        <v>144.79</v>
      </c>
      <c r="E50" s="63">
        <v>180.87</v>
      </c>
      <c r="F50" s="183">
        <v>207.6</v>
      </c>
      <c r="G50" s="183">
        <v>242.35</v>
      </c>
      <c r="H50" s="183">
        <v>276.88</v>
      </c>
      <c r="I50" s="183">
        <v>311.63</v>
      </c>
      <c r="J50" s="183">
        <v>346.17</v>
      </c>
      <c r="K50" s="183">
        <v>380.69</v>
      </c>
      <c r="L50" s="183">
        <v>415.44</v>
      </c>
      <c r="M50" s="183">
        <v>449.96</v>
      </c>
      <c r="N50" s="183">
        <v>484.72</v>
      </c>
      <c r="O50" s="183">
        <v>519.24</v>
      </c>
      <c r="P50" s="183">
        <v>553.76</v>
      </c>
      <c r="Q50" s="183">
        <v>556.49</v>
      </c>
      <c r="R50" s="183">
        <v>589.65</v>
      </c>
      <c r="S50" s="183">
        <v>623.95000000000005</v>
      </c>
      <c r="T50" s="183">
        <v>658.25</v>
      </c>
      <c r="U50" s="162" t="s">
        <v>306</v>
      </c>
      <c r="AN50" s="186"/>
    </row>
    <row r="51" spans="1:40" s="63" customFormat="1" x14ac:dyDescent="0.2">
      <c r="A51" s="301"/>
      <c r="B51" s="132">
        <v>2743</v>
      </c>
      <c r="C51" s="132" t="s">
        <v>222</v>
      </c>
      <c r="D51" s="63">
        <v>153.28</v>
      </c>
      <c r="E51" s="183">
        <v>183.23</v>
      </c>
      <c r="F51" s="183">
        <v>219.78</v>
      </c>
      <c r="G51" s="183">
        <v>256.57</v>
      </c>
      <c r="H51" s="183">
        <v>293.13</v>
      </c>
      <c r="I51" s="183">
        <v>329.91</v>
      </c>
      <c r="J51" s="183">
        <v>366.47</v>
      </c>
      <c r="K51" s="183">
        <v>403.01</v>
      </c>
      <c r="L51" s="183">
        <v>439.81</v>
      </c>
      <c r="M51" s="183">
        <v>476.36</v>
      </c>
      <c r="N51" s="183">
        <v>513.15</v>
      </c>
      <c r="O51" s="183">
        <v>549.70000000000005</v>
      </c>
      <c r="P51" s="183">
        <v>586.25</v>
      </c>
      <c r="Q51" s="183">
        <v>589.13</v>
      </c>
      <c r="R51" s="183">
        <v>624.24</v>
      </c>
      <c r="S51" s="183">
        <v>660.56</v>
      </c>
      <c r="T51" s="162" t="s">
        <v>306</v>
      </c>
      <c r="U51" s="162" t="s">
        <v>306</v>
      </c>
      <c r="AM51" s="186"/>
      <c r="AN51" s="186"/>
    </row>
    <row r="52" spans="1:40" s="63" customFormat="1" x14ac:dyDescent="0.2">
      <c r="A52" s="301"/>
      <c r="B52" s="132">
        <v>2896</v>
      </c>
      <c r="C52" s="132" t="s">
        <v>223</v>
      </c>
      <c r="D52" s="63">
        <v>161.84</v>
      </c>
      <c r="E52" s="183">
        <v>193.45</v>
      </c>
      <c r="F52" s="183">
        <v>232.04</v>
      </c>
      <c r="G52" s="183">
        <v>270.88</v>
      </c>
      <c r="H52" s="183">
        <v>309.47000000000003</v>
      </c>
      <c r="I52" s="183">
        <v>348.31</v>
      </c>
      <c r="J52" s="183">
        <v>386.9</v>
      </c>
      <c r="K52" s="183">
        <v>425.5</v>
      </c>
      <c r="L52" s="183">
        <v>464.34</v>
      </c>
      <c r="M52" s="183">
        <v>502.93</v>
      </c>
      <c r="N52" s="183">
        <v>541.78</v>
      </c>
      <c r="O52" s="183">
        <v>580.36</v>
      </c>
      <c r="P52" s="183">
        <v>618.95000000000005</v>
      </c>
      <c r="Q52" s="183">
        <v>622</v>
      </c>
      <c r="R52" s="183">
        <v>659.07</v>
      </c>
      <c r="S52" s="162" t="s">
        <v>306</v>
      </c>
      <c r="T52" s="162" t="s">
        <v>306</v>
      </c>
      <c r="U52" s="162" t="s">
        <v>306</v>
      </c>
      <c r="AL52" s="186"/>
      <c r="AM52" s="186"/>
      <c r="AN52" s="186"/>
    </row>
    <row r="53" spans="1:40" s="63" customFormat="1" x14ac:dyDescent="0.2">
      <c r="A53" s="301"/>
      <c r="B53" s="132">
        <v>3048</v>
      </c>
      <c r="C53" s="132" t="s">
        <v>224</v>
      </c>
      <c r="D53" s="63">
        <v>170.33</v>
      </c>
      <c r="E53" s="183">
        <v>203.6</v>
      </c>
      <c r="F53" s="183">
        <v>244.22</v>
      </c>
      <c r="G53" s="183">
        <v>285.10000000000002</v>
      </c>
      <c r="H53" s="183">
        <v>325.72000000000003</v>
      </c>
      <c r="I53" s="183">
        <v>366.6</v>
      </c>
      <c r="J53" s="183">
        <v>407.22</v>
      </c>
      <c r="K53" s="183">
        <v>447.83</v>
      </c>
      <c r="L53" s="183">
        <v>488.72</v>
      </c>
      <c r="M53" s="183">
        <v>529.32000000000005</v>
      </c>
      <c r="N53" s="183">
        <v>570.21</v>
      </c>
      <c r="O53" s="183">
        <v>610.82000000000005</v>
      </c>
      <c r="P53" s="183">
        <v>651.42999999999995</v>
      </c>
      <c r="Q53" s="162" t="s">
        <v>306</v>
      </c>
      <c r="R53" s="162" t="s">
        <v>306</v>
      </c>
      <c r="S53" s="162" t="s">
        <v>306</v>
      </c>
      <c r="T53" s="162" t="s">
        <v>306</v>
      </c>
      <c r="U53" s="162" t="s">
        <v>306</v>
      </c>
      <c r="AJ53" s="186"/>
      <c r="AK53" s="186"/>
      <c r="AL53" s="186"/>
      <c r="AM53" s="186"/>
      <c r="AN53" s="186"/>
    </row>
  </sheetData>
  <mergeCells count="7">
    <mergeCell ref="Q34:U34"/>
    <mergeCell ref="A37:A53"/>
    <mergeCell ref="D7:U7"/>
    <mergeCell ref="Q8:U8"/>
    <mergeCell ref="A11:A27"/>
    <mergeCell ref="D33:U33"/>
    <mergeCell ref="G32:H32"/>
  </mergeCells>
  <pageMargins left="0.75" right="0.75" top="1" bottom="1" header="0.5" footer="0.5"/>
  <pageSetup paperSize="9" scale="90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2823fea1bc2affb62c76dbb4fa8b8d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e53ec00ec453a1eec4584499b9bdd2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AE1D50-CA23-457D-80A4-426B505DA5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31421D-DE73-45A4-B804-FA40AAB70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C9F9814-785D-4B53-BC9D-D01C23D61BC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124</vt:i4>
      </vt:variant>
    </vt:vector>
  </HeadingPairs>
  <TitlesOfParts>
    <vt:vector size="130" baseType="lpstr">
      <vt:lpstr>Order Form</vt:lpstr>
      <vt:lpstr>Installation Sheet</vt:lpstr>
      <vt:lpstr>EDR</vt:lpstr>
      <vt:lpstr>Price Calculations</vt:lpstr>
      <vt:lpstr>Lookup Basswood</vt:lpstr>
      <vt:lpstr>Classic Grid</vt:lpstr>
      <vt:lpstr>AltDeliverAddr</vt:lpstr>
      <vt:lpstr>b_50IBValanceReturns</vt:lpstr>
      <vt:lpstr>b_50OBValanceReturns</vt:lpstr>
      <vt:lpstr>b_64IBValanceReturns</vt:lpstr>
      <vt:lpstr>b_64OBValanceReturns</vt:lpstr>
      <vt:lpstr>b_CentreCustomLColour</vt:lpstr>
      <vt:lpstr>b_CentreLadderColour</vt:lpstr>
      <vt:lpstr>b_Cleat</vt:lpstr>
      <vt:lpstr>b_CleatPriceTab</vt:lpstr>
      <vt:lpstr>b_ClothTapeColours</vt:lpstr>
      <vt:lpstr>b_Colour</vt:lpstr>
      <vt:lpstr>b_ColourPrices</vt:lpstr>
      <vt:lpstr>b_ConsolidColours</vt:lpstr>
      <vt:lpstr>b_CustHeadrailFinish</vt:lpstr>
      <vt:lpstr>b_CustLadderColour</vt:lpstr>
      <vt:lpstr>b_CustomConsolidColours</vt:lpstr>
      <vt:lpstr>b_Cutouts</vt:lpstr>
      <vt:lpstr>b_CutOutsPrices</vt:lpstr>
      <vt:lpstr>b_DefaultLC</vt:lpstr>
      <vt:lpstr>b_DefaultOnly</vt:lpstr>
      <vt:lpstr>b_DeliveryMethod</vt:lpstr>
      <vt:lpstr>b_DeliveryMethodPrice</vt:lpstr>
      <vt:lpstr>b_DTapeDesign</vt:lpstr>
      <vt:lpstr>b_DTapeDesignPrices</vt:lpstr>
      <vt:lpstr>b_HDBracket</vt:lpstr>
      <vt:lpstr>b_HDBracketPrices</vt:lpstr>
      <vt:lpstr>b_HeadrailFinish</vt:lpstr>
      <vt:lpstr>b_HeadrailFinishPrices</vt:lpstr>
      <vt:lpstr>b_LadderChoice</vt:lpstr>
      <vt:lpstr>b_LadderChoicePrices</vt:lpstr>
      <vt:lpstr>b_LadderColour</vt:lpstr>
      <vt:lpstr>b_LadderColourPrices</vt:lpstr>
      <vt:lpstr>b_LiftCord</vt:lpstr>
      <vt:lpstr>b_LiftCordPrices</vt:lpstr>
      <vt:lpstr>b_MultipleBlinds</vt:lpstr>
      <vt:lpstr>b_MultipleBlindsPrices</vt:lpstr>
      <vt:lpstr>b_Routless</vt:lpstr>
      <vt:lpstr>b_RoutlessPrices</vt:lpstr>
      <vt:lpstr>b_SizeType</vt:lpstr>
      <vt:lpstr>b_SizeTypePrices</vt:lpstr>
      <vt:lpstr>b_SlatSize</vt:lpstr>
      <vt:lpstr>b_SlatSizePrices</vt:lpstr>
      <vt:lpstr>b_T002</vt:lpstr>
      <vt:lpstr>b_TiltCord</vt:lpstr>
      <vt:lpstr>b_TiltCordPrices</vt:lpstr>
      <vt:lpstr>b_ToggleDesign</vt:lpstr>
      <vt:lpstr>b_ToggleDesignPrices</vt:lpstr>
      <vt:lpstr>b_ValanceDesign</vt:lpstr>
      <vt:lpstr>b_ValanceDesignPrices</vt:lpstr>
      <vt:lpstr>b_ValanceReturns</vt:lpstr>
      <vt:lpstr>b_ValanceReturnsPrices</vt:lpstr>
      <vt:lpstr>Brackets</vt:lpstr>
      <vt:lpstr>Brand</vt:lpstr>
      <vt:lpstr>Classic50Prices</vt:lpstr>
      <vt:lpstr>Classic64Prices</vt:lpstr>
      <vt:lpstr>Customer_Name</vt:lpstr>
      <vt:lpstr>Dealer_Name</vt:lpstr>
      <vt:lpstr>Dealer_Order_No</vt:lpstr>
      <vt:lpstr>DefaultOnly</vt:lpstr>
      <vt:lpstr>DeliverAddress</vt:lpstr>
      <vt:lpstr>DeliveryCharge</vt:lpstr>
      <vt:lpstr>DeliveryChoice</vt:lpstr>
      <vt:lpstr>DeliveryMethod</vt:lpstr>
      <vt:lpstr>Discount</vt:lpstr>
      <vt:lpstr>DropRow</vt:lpstr>
      <vt:lpstr>DuluxColours</vt:lpstr>
      <vt:lpstr>EDR_Action1</vt:lpstr>
      <vt:lpstr>EDR_Action2</vt:lpstr>
      <vt:lpstr>EDR_Action3</vt:lpstr>
      <vt:lpstr>EDR_Action4</vt:lpstr>
      <vt:lpstr>EDR_Action5</vt:lpstr>
      <vt:lpstr>EDR_Action6</vt:lpstr>
      <vt:lpstr>EDR_Action7</vt:lpstr>
      <vt:lpstr>EDR_Action8</vt:lpstr>
      <vt:lpstr>EDR_Date</vt:lpstr>
      <vt:lpstr>EDR_Details1</vt:lpstr>
      <vt:lpstr>EDR_Details2</vt:lpstr>
      <vt:lpstr>EDR_Details3</vt:lpstr>
      <vt:lpstr>EDR_Details4</vt:lpstr>
      <vt:lpstr>EDR_Details5</vt:lpstr>
      <vt:lpstr>EDR_Details6</vt:lpstr>
      <vt:lpstr>EDR_Details7</vt:lpstr>
      <vt:lpstr>EDR_Details8</vt:lpstr>
      <vt:lpstr>EDR_Done1</vt:lpstr>
      <vt:lpstr>EDR_Done2</vt:lpstr>
      <vt:lpstr>EDR_Done3</vt:lpstr>
      <vt:lpstr>EDR_Done4</vt:lpstr>
      <vt:lpstr>EDR_Done5</vt:lpstr>
      <vt:lpstr>EDR_Done6</vt:lpstr>
      <vt:lpstr>EDR_Done7</vt:lpstr>
      <vt:lpstr>EDR_Done8</vt:lpstr>
      <vt:lpstr>EDR_Line1</vt:lpstr>
      <vt:lpstr>EDR_Line2</vt:lpstr>
      <vt:lpstr>EDR_Line3</vt:lpstr>
      <vt:lpstr>EDR_Line4</vt:lpstr>
      <vt:lpstr>EDR_Line5</vt:lpstr>
      <vt:lpstr>EDR_Line6</vt:lpstr>
      <vt:lpstr>EDR_Line7</vt:lpstr>
      <vt:lpstr>EDR_Line8</vt:lpstr>
      <vt:lpstr>Final_Date</vt:lpstr>
      <vt:lpstr>Form_Type</vt:lpstr>
      <vt:lpstr>Materials</vt:lpstr>
      <vt:lpstr>Net_Freight_Value</vt:lpstr>
      <vt:lpstr>Net_Product_Value</vt:lpstr>
      <vt:lpstr>No</vt:lpstr>
      <vt:lpstr>Notes</vt:lpstr>
      <vt:lpstr>NotReq</vt:lpstr>
      <vt:lpstr>Order_Date</vt:lpstr>
      <vt:lpstr>Promotext</vt:lpstr>
      <vt:lpstr>SC_ACno</vt:lpstr>
      <vt:lpstr>SC_EDR_no</vt:lpstr>
      <vt:lpstr>SC_Order_No</vt:lpstr>
      <vt:lpstr>stpromotext</vt:lpstr>
      <vt:lpstr>Sub_Total</vt:lpstr>
      <vt:lpstr>SwatchColours</vt:lpstr>
      <vt:lpstr>Total_Value</vt:lpstr>
      <vt:lpstr>TotSqM</vt:lpstr>
      <vt:lpstr>VAT</vt:lpstr>
      <vt:lpstr>VAT_Rate</vt:lpstr>
      <vt:lpstr>VAT_Text</vt:lpstr>
      <vt:lpstr>Version</vt:lpstr>
      <vt:lpstr>WidthColumn</vt:lpstr>
      <vt:lpstr>Wood_Type</vt:lpstr>
      <vt:lpstr>WoodType</vt:lpstr>
    </vt:vector>
  </TitlesOfParts>
  <Manager>Justin Allen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Rialto Order Card</dc:title>
  <dc:subject>Spec &amp; Order Card for Rialto Blinds from S:Craft</dc:subject>
  <dc:creator>Laurence Martin</dc:creator>
  <dc:description>v91</dc:description>
  <cp:lastModifiedBy>Rebecca Keen</cp:lastModifiedBy>
  <cp:lastPrinted>2019-05-24T12:23:02Z</cp:lastPrinted>
  <dcterms:created xsi:type="dcterms:W3CDTF">2007-01-10T21:20:53Z</dcterms:created>
  <dcterms:modified xsi:type="dcterms:W3CDTF">2019-05-24T12:23:37Z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0x01010029626303F7C3EA4D90E82AA2EA0904AF</vt:lpwstr>
  </property>
</Properties>
</file>