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L/Launder, 15 Roselynd Court/SO8618/"/>
    </mc:Choice>
  </mc:AlternateContent>
  <xr:revisionPtr revIDLastSave="15" documentId="8_{4CEC42AA-323F-4C80-8490-3571E9317FEA}" xr6:coauthVersionLast="43" xr6:coauthVersionMax="43" xr10:uidLastSave="{7C8C8EE3-5A59-45EF-A72A-93E388C0512C}"/>
  <workbookProtection workbookAlgorithmName="SHA-512" workbookHashValue="tRUVBciJ17m3ZbkxfoAZcBj7oCnvKFKeuZ0V+a6iBdkgZVn9GnDC3VTxkWNbH9AQUwUV1K5coB2mvz3Fu+hCNg==" workbookSaltValue="9j1USWflEvEZhksY4OmjAQ==" workbookSpinCount="100000" lockStructure="1"/>
  <bookViews>
    <workbookView xWindow="2850" yWindow="210" windowWidth="25620" windowHeight="1623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Basswood'!$V$13:$V$27</definedName>
    <definedName name="b_CentreLadderColour">'Lookup Basswood'!$V$13:$V$27</definedName>
    <definedName name="b_Cleat">'Lookup Basswood'!$BG$3:$BG$6</definedName>
    <definedName name="b_CleatPriceTab">'Lookup Basswood'!$BG$3:$BH$6</definedName>
    <definedName name="b_ClothTapeColours">'Lookup Basswood'!$Y$4:$Y$23</definedName>
    <definedName name="b_Colour">'Lookup Basswood'!$A$3:$A$29</definedName>
    <definedName name="b_ColourPrices">'Lookup Basswood'!$A$3:$C$29</definedName>
    <definedName name="b_ConsolidColours">'Lookup Basswood'!$BI$3:$BI$13</definedName>
    <definedName name="b_CustHeadrailFinish">'Lookup Basswood'!$I$4:$I$9</definedName>
    <definedName name="b_CustLadderColour">'Lookup Basswood'!$V$4:$V$10</definedName>
    <definedName name="b_CustomConsolidColours">'Lookup Basswood'!$BI$4:$BI$13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Basswood'!$AB$3:$AC$21</definedName>
    <definedName name="b_HDBracket">'Lookup Basswood'!$BA$3:$BA$4</definedName>
    <definedName name="b_HDBracketPrices">'Lookup Basswood'!$BA$3:$BB$4</definedName>
    <definedName name="b_HeadrailFinish">'Lookup Basswood'!$I$3:$I$9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Basswood'!$V$3:$V$10</definedName>
    <definedName name="b_LadderColourPrices">'Lookup Basswood'!$V$3:$W$10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24" i="7" s="1"/>
  <c r="R39" i="7" s="1"/>
  <c r="R10" i="7"/>
  <c r="F10" i="7"/>
  <c r="F25" i="7" s="1"/>
  <c r="R11" i="7"/>
  <c r="F11" i="7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7" i="6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J27" i="7" s="1"/>
  <c r="G12" i="7"/>
  <c r="G27" i="7" s="1"/>
  <c r="K12" i="7"/>
  <c r="K27" i="7" s="1"/>
  <c r="C12" i="7"/>
  <c r="L12" i="7"/>
  <c r="L27" i="7" s="1"/>
  <c r="U12" i="7"/>
  <c r="U27" i="7" s="1"/>
  <c r="U42" i="7" s="1"/>
  <c r="V12" i="7"/>
  <c r="V27" i="7" s="1"/>
  <c r="V42" i="7" s="1"/>
  <c r="D12" i="7"/>
  <c r="D27" i="7" s="1"/>
  <c r="D42" i="7" s="1"/>
  <c r="X42" i="7" s="1"/>
  <c r="J11" i="7"/>
  <c r="G11" i="7"/>
  <c r="G26" i="7" s="1"/>
  <c r="K11" i="7"/>
  <c r="C11" i="7"/>
  <c r="L11" i="7"/>
  <c r="U11" i="7"/>
  <c r="V11" i="7"/>
  <c r="D11" i="7"/>
  <c r="J10" i="7"/>
  <c r="G10" i="7"/>
  <c r="K10" i="7"/>
  <c r="C10" i="7"/>
  <c r="C40" i="7" s="1"/>
  <c r="L10" i="7"/>
  <c r="U10" i="7"/>
  <c r="V10" i="7"/>
  <c r="D10" i="7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11" i="7"/>
  <c r="Q26" i="7" s="1"/>
  <c r="Q12" i="7"/>
  <c r="Q13" i="7"/>
  <c r="Q28" i="7" s="1"/>
  <c r="Q43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F26" i="7"/>
  <c r="C41" i="7"/>
  <c r="C26" i="7"/>
  <c r="H28" i="7"/>
  <c r="C43" i="7"/>
  <c r="C28" i="7"/>
  <c r="H30" i="7"/>
  <c r="C45" i="7"/>
  <c r="C30" i="7"/>
  <c r="H32" i="7"/>
  <c r="C47" i="7"/>
  <c r="C32" i="7"/>
  <c r="H27" i="7"/>
  <c r="C42" i="7"/>
  <c r="C27" i="7"/>
  <c r="C44" i="7"/>
  <c r="C29" i="7"/>
  <c r="H31" i="7"/>
  <c r="C46" i="7"/>
  <c r="C31" i="7"/>
  <c r="H33" i="7"/>
  <c r="I35" i="13"/>
  <c r="H35" i="6"/>
  <c r="C23" i="7"/>
  <c r="Q27" i="7"/>
  <c r="Q42" i="7" s="1"/>
  <c r="Q31" i="7"/>
  <c r="Q46" i="7" s="1"/>
  <c r="Q33" i="7"/>
  <c r="Q48" i="7" s="1"/>
  <c r="H12" i="7"/>
  <c r="J13" i="6" s="1"/>
  <c r="J13" i="13" s="1"/>
  <c r="K33" i="7"/>
  <c r="K29" i="7"/>
  <c r="J26" i="7"/>
  <c r="K26" i="7"/>
  <c r="L26" i="7"/>
  <c r="U26" i="7"/>
  <c r="D26" i="7"/>
  <c r="V26" i="7"/>
  <c r="D25" i="7"/>
  <c r="U24" i="7"/>
  <c r="U23" i="7"/>
  <c r="J25" i="7"/>
  <c r="U25" i="7"/>
  <c r="V25" i="7"/>
  <c r="J24" i="7"/>
  <c r="K24" i="7"/>
  <c r="K25" i="7"/>
  <c r="K23" i="7"/>
  <c r="L23" i="7"/>
  <c r="J23" i="7"/>
  <c r="L24" i="7"/>
  <c r="L25" i="7"/>
  <c r="V24" i="7"/>
  <c r="D23" i="7"/>
  <c r="D24" i="7"/>
  <c r="V23" i="7"/>
  <c r="H48" i="7"/>
  <c r="C25" i="7" l="1"/>
  <c r="V41" i="7"/>
  <c r="U41" i="7"/>
  <c r="D41" i="7"/>
  <c r="U40" i="7"/>
  <c r="V40" i="7"/>
  <c r="U39" i="7"/>
  <c r="V39" i="7"/>
  <c r="V38" i="7"/>
  <c r="U38" i="7"/>
  <c r="D40" i="7"/>
  <c r="X40" i="7" s="1"/>
  <c r="D39" i="7"/>
  <c r="X39" i="7" s="1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H17" i="7"/>
  <c r="J18" i="6" s="1"/>
  <c r="J18" i="13" s="1"/>
  <c r="D50" i="7"/>
  <c r="H15" i="7"/>
  <c r="J16" i="6" s="1"/>
  <c r="J16" i="13" s="1"/>
  <c r="W42" i="7"/>
  <c r="AB42" i="7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X41" i="7"/>
  <c r="X43" i="7"/>
  <c r="W43" i="7"/>
  <c r="X48" i="7"/>
  <c r="W48" i="7"/>
  <c r="H38" i="7"/>
  <c r="H45" i="7"/>
  <c r="H47" i="7"/>
  <c r="H39" i="7"/>
  <c r="H46" i="7"/>
  <c r="H40" i="7"/>
  <c r="H42" i="7"/>
  <c r="H43" i="7"/>
  <c r="H44" i="7"/>
  <c r="H41" i="7"/>
  <c r="Q41" i="7" l="1"/>
  <c r="J12" i="6"/>
  <c r="J12" i="13" s="1"/>
  <c r="H26" i="7"/>
  <c r="Q40" i="7"/>
  <c r="Q39" i="7"/>
  <c r="Q38" i="7"/>
  <c r="J11" i="6"/>
  <c r="J11" i="13" s="1"/>
  <c r="H25" i="7"/>
  <c r="H24" i="7"/>
  <c r="L39" i="7"/>
  <c r="L38" i="7"/>
  <c r="L40" i="7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Z42" i="7" s="1"/>
  <c r="N27" i="6" s="1"/>
  <c r="L45" i="7"/>
  <c r="Y45" i="7" s="1"/>
  <c r="Z45" i="7" s="1"/>
  <c r="N30" i="6" s="1"/>
  <c r="L41" i="7"/>
  <c r="H19" i="7"/>
  <c r="J9" i="6"/>
  <c r="D54" i="7"/>
  <c r="O35" i="6" s="1"/>
  <c r="AB43" i="7"/>
  <c r="AB48" i="7"/>
  <c r="Z48" i="7"/>
  <c r="N33" i="6" s="1"/>
  <c r="AB46" i="7"/>
  <c r="Y40" i="7" l="1"/>
  <c r="Y41" i="7"/>
  <c r="W41" i="7"/>
  <c r="AB41" i="7" s="1"/>
  <c r="Y39" i="7"/>
  <c r="Y38" i="7"/>
  <c r="W40" i="7"/>
  <c r="AB40" i="7" s="1"/>
  <c r="W39" i="7"/>
  <c r="AB39" i="7" s="1"/>
  <c r="W38" i="7"/>
  <c r="AB38" i="7" s="1"/>
  <c r="A1" i="6"/>
  <c r="A1" i="13"/>
  <c r="X58" i="7"/>
  <c r="J9" i="13"/>
  <c r="J20" i="6"/>
  <c r="J20" i="13" s="1"/>
  <c r="AA44" i="7"/>
  <c r="AA45" i="7"/>
  <c r="N32" i="6"/>
  <c r="AA42" i="7"/>
  <c r="AA46" i="7"/>
  <c r="AA48" i="7"/>
  <c r="AA43" i="7"/>
  <c r="Z41" i="7" l="1"/>
  <c r="Z40" i="7"/>
  <c r="N25" i="6" s="1"/>
  <c r="AB51" i="7"/>
  <c r="X61" i="7" s="1"/>
  <c r="O37" i="6" s="1"/>
  <c r="Z39" i="7"/>
  <c r="AA39" i="7" s="1"/>
  <c r="O24" i="6" s="1"/>
  <c r="Z38" i="7"/>
  <c r="N23" i="6" s="1"/>
  <c r="N26" i="6" l="1"/>
  <c r="AA41" i="7"/>
  <c r="O26" i="6" s="1"/>
  <c r="N24" i="6"/>
  <c r="AA40" i="7"/>
  <c r="O25" i="6" s="1"/>
  <c r="AA38" i="7"/>
  <c r="O23" i="6" l="1"/>
  <c r="AA51" i="7"/>
  <c r="X55" i="7"/>
  <c r="X60" i="7" l="1"/>
  <c r="X62" i="7" l="1"/>
  <c r="O36" i="6"/>
  <c r="X66" i="7"/>
  <c r="O39" i="6" s="1"/>
  <c r="O40" i="6" s="1"/>
  <c r="O4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<sst xmlns="http://schemas.openxmlformats.org/spreadsheetml/2006/main" count="639" uniqueCount="349">
  <si>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</si>
  <si>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</si>
  <si>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</si>
  <si>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</si>
  <si>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</si>
  <si>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</si>
  <si>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</si>
  <si>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</si>
  <si>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</si>
  <si>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</si>
  <si>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</si>
  <si>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</si>
  <si>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</si>
  <si>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</si>
  <si>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</si>
  <si>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</si>
  <si>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</si>
  <si>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</si>
  <si>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</si>
  <si>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</si>
  <si>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</si>
  <si>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</si>
  <si>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</si>
  <si>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</si>
  <si>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</si>
  <si>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</si>
  <si>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</si>
  <si>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</si>
  <si>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</si>
  <si>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</si>
  <si>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</si>
  <si>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</si>
  <si>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</si>
  <si>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</si>
  <si>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</si>
  <si>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</si>
  <si>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</si>
  <si>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</si>
  <si>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</si>
  <si>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</si>
  <si>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</si>
  <si>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</si>
  <si>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</si>
  <si>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</si>
  <si>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</si>
  <si>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</si>
  <si>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</si>
  <si>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</si>
  <si>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</si>
  <si>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</si>
  <si>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</si>
  <si>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</si>
  <si>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T113</t>
  </si>
  <si>
    <t>T114</t>
  </si>
  <si>
    <t>T115</t>
  </si>
  <si>
    <t>T116</t>
  </si>
  <si>
    <t>T117</t>
  </si>
  <si>
    <t>T118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</si>
  <si>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</si>
  <si>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</si>
  <si>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</si>
  <si>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</si>
  <si>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</si>
  <si>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</si>
  <si>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</si>
  <si>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</si>
  <si>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</si>
  <si>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</si>
  <si>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</si>
  <si>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</si>
  <si>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</si>
  <si>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</si>
  <si>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</si>
  <si>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</si>
  <si>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</si>
  <si>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</si>
  <si>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</si>
  <si>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</si>
  <si>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</si>
  <si>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</si>
  <si>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</si>
  <si>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</si>
  <si>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</si>
  <si>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</si>
  <si>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</si>
  <si>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</si>
  <si>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</si>
  <si>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</si>
  <si>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</si>
  <si>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</si>
  <si>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</si>
  <si>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</si>
  <si>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</si>
  <si>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</si>
  <si>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</si>
  <si>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</si>
  <si>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</si>
  <si>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</si>
  <si>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</si>
  <si>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</si>
  <si>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</si>
  <si>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</si>
  <si>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</si>
  <si>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</si>
  <si>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</si>
  <si>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</si>
  <si>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</si>
  <si>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</si>
  <si>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</si>
  <si>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</si>
  <si>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</si>
  <si>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</si>
  <si>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</si>
  <si>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</si>
  <si>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</si>
  <si>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</si>
  <si>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</si>
  <si>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</si>
  <si>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</si>
  <si>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</si>
  <si>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</si>
  <si>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</si>
  <si>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</si>
  <si>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</si>
  <si>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</si>
  <si>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</si>
  <si>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</si>
  <si>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</si>
  <si>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</si>
  <si>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</si>
  <si>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</si>
  <si>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</si>
  <si>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</si>
  <si>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</si>
  <si>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</si>
  <si>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</si>
  <si>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</si>
  <si>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</si>
  <si>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</si>
  <si>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</si>
  <si>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</si>
  <si>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</si>
  <si>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</si>
  <si>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</si>
  <si>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</si>
  <si>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</si>
  <si>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</si>
  <si>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</si>
  <si>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</si>
  <si>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</si>
  <si>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</si>
  <si>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</si>
  <si>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</si>
  <si>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</si>
  <si>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</si>
  <si>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</si>
  <si>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</si>
  <si>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</si>
  <si>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</si>
  <si>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</si>
  <si>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</si>
  <si>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</si>
  <si>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</si>
  <si>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</si>
  <si>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</si>
  <si>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</si>
  <si>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</si>
  <si>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</si>
  <si>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</si>
  <si>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</si>
  <si>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</si>
  <si>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</si>
  <si>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</si>
  <si>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</si>
  <si>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</si>
  <si>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</si>
  <si>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</si>
  <si>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</si>
  <si>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</si>
  <si>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</si>
  <si>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</si>
  <si>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</si>
  <si>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</si>
  <si>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</si>
  <si>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</si>
  <si>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</si>
  <si>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</si>
  <si>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</si>
  <si>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</si>
  <si>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</si>
  <si>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</si>
  <si>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</si>
  <si>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</si>
  <si>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</si>
  <si>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</si>
  <si>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</si>
  <si>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</si>
  <si>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</si>
  <si>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</si>
  <si>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</si>
  <si>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</si>
  <si>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</si>
  <si>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</si>
  <si>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</si>
  <si>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</si>
  <si>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</si>
  <si>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</si>
  <si>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</si>
  <si>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</si>
  <si>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</si>
  <si>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</si>
  <si>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</si>
  <si>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</si>
  <si>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</si>
  <si>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</si>
  <si>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</si>
  <si>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</si>
  <si>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</si>
  <si>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</si>
  <si>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</si>
  <si>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</si>
  <si>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</si>
  <si>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</si>
  <si>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</si>
  <si>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</si>
  <si>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</si>
  <si>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</si>
  <si>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</si>
  <si>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</si>
  <si>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</si>
  <si>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</si>
  <si>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</si>
  <si>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</si>
  <si>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</si>
  <si>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</si>
  <si>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</si>
  <si>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</si>
  <si>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</si>
  <si>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</si>
  <si>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</si>
  <si>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</si>
  <si>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</si>
  <si>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</si>
  <si>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</si>
  <si>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</si>
  <si>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</si>
  <si>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</si>
  <si>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</si>
  <si>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</si>
  <si>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</si>
  <si>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049 Stone Grey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</si>
  <si>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</si>
  <si>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</si>
  <si>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</si>
  <si>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</si>
  <si>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</si>
  <si>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</si>
  <si>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</si>
  <si>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</si>
  <si>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</si>
  <si>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</si>
  <si>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</si>
  <si>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</si>
  <si>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</si>
  <si>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</si>
  <si>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</si>
  <si>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</si>
  <si>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</si>
  <si>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</si>
  <si>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</si>
  <si>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</si>
  <si>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</si>
  <si>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</si>
  <si>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</si>
  <si>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</si>
  <si>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</si>
  <si>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</si>
  <si>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</si>
  <si>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</si>
  <si>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</si>
  <si>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</si>
  <si>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</si>
  <si>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</si>
  <si>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</si>
  <si>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</si>
  <si>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</si>
  <si>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</si>
  <si>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</si>
  <si>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</si>
  <si>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</si>
  <si>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</si>
  <si>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</si>
  <si>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</si>
  <si>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</si>
  <si>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T002 Ivory</t>
  </si>
  <si>
    <t>T003 Bone</t>
  </si>
  <si>
    <t>T169 Grey Beige</t>
    <phoneticPr fontId="4" type="noConversion"/>
  </si>
  <si>
    <t>T201 Black</t>
  </si>
  <si>
    <t>T302 Bordeaux</t>
  </si>
  <si>
    <t>T303 Dark Mulberry</t>
  </si>
  <si>
    <t>T401 Cherry</t>
  </si>
  <si>
    <t>T402 Light Cocoa</t>
  </si>
  <si>
    <t>T403 Ecru</t>
    <phoneticPr fontId="4" type="noConversion"/>
  </si>
  <si>
    <t>T501 Wheat</t>
  </si>
  <si>
    <t>T601 Cumin</t>
  </si>
  <si>
    <t>T701 Sea Foam</t>
  </si>
  <si>
    <t>T702 Navy Blue</t>
  </si>
  <si>
    <t>5462 Black Brown</t>
    <phoneticPr fontId="1" type="noConversion"/>
  </si>
  <si>
    <t>5434 Dark Sienna</t>
    <phoneticPr fontId="1" type="noConversion"/>
  </si>
  <si>
    <t>5414 Brown</t>
    <phoneticPr fontId="1" type="noConversion"/>
  </si>
  <si>
    <t>5507 Natural</t>
    <phoneticPr fontId="1" type="noConversion"/>
  </si>
  <si>
    <t>5124 Dusty Grey</t>
    <phoneticPr fontId="1" type="noConversion"/>
  </si>
  <si>
    <t>5416 Chocolate</t>
    <phoneticPr fontId="1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</si>
  <si>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</si>
  <si>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</si>
  <si>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</si>
  <si>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</si>
  <si>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</si>
  <si>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</si>
  <si>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</si>
  <si>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P101 Grey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</si>
  <si>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</si>
  <si>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</si>
  <si>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</si>
  <si>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</si>
  <si>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</si>
  <si>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</si>
  <si>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</si>
  <si>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</si>
  <si>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</si>
  <si>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</si>
  <si>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008 Marshmallow</t>
  </si>
  <si>
    <t>051 Brown Grey</t>
  </si>
  <si>
    <t>204 Oak Mantel</t>
  </si>
  <si>
    <t>Installation Brackets</t>
  </si>
  <si>
    <t>Brackets</t>
  </si>
  <si>
    <t>Box Bracket</t>
  </si>
  <si>
    <t>Swivel Bracket IM</t>
  </si>
  <si>
    <t>Swivel Bracket OM</t>
  </si>
  <si>
    <t>019 String</t>
  </si>
  <si>
    <t>032 Sea Mist</t>
  </si>
  <si>
    <t>vT7</t>
  </si>
  <si>
    <t>CP Interiors</t>
  </si>
  <si>
    <t>CPSUN</t>
  </si>
  <si>
    <t>VAT exempt</t>
  </si>
  <si>
    <t xml:space="preserve"> Launder</t>
  </si>
  <si>
    <t>So8618</t>
  </si>
  <si>
    <t>n/a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</si>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</sst>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/>
    <xf numFmtId="0" fontId="11" fillId="0" borderId="0" xfId="0" applyFont="1"/>
    <xf numFmtId="169" fontId="0" fillId="0" borderId="0" xfId="1" applyNumberFormat="1" applyFont="1"/>
    <xf numFmtId="0" fontId="2" fillId="0" borderId="0" xfId="5" applyAlignment="1">
      <alignment horizontal="right"/>
    </xf>
    <xf numFmtId="0" fontId="2" fillId="0" borderId="0" xfId="5"/>
    <xf numFmtId="1" fontId="12" fillId="0" borderId="0" xfId="5" applyNumberFormat="1" applyFont="1" applyAlignment="1">
      <alignment horizontal="right" vertical="center"/>
    </xf>
    <xf numFmtId="0" fontId="2" fillId="0" borderId="0" xfId="5" applyAlignment="1">
      <alignment vertical="center"/>
    </xf>
    <xf numFmtId="0" fontId="12" fillId="0" borderId="0" xfId="0" applyFont="1" applyAlignment="1">
      <alignment horizontal="right" vertical="center"/>
    </xf>
    <xf numFmtId="1" fontId="2" fillId="0" borderId="0" xfId="5" applyNumberFormat="1"/>
    <xf numFmtId="1" fontId="13" fillId="0" borderId="0" xfId="5" applyNumberFormat="1" applyFont="1" applyAlignment="1">
      <alignment horizontal="center"/>
    </xf>
    <xf numFmtId="0" fontId="12" fillId="0" borderId="0" xfId="0" applyFont="1" applyAlignment="1">
      <alignment horizontal="right"/>
    </xf>
    <xf numFmtId="1" fontId="14" fillId="0" borderId="0" xfId="5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9" fillId="0" borderId="0" xfId="0" applyFont="1" applyAlignment="1">
      <alignment horizontal="left"/>
    </xf>
    <xf numFmtId="0" fontId="0" fillId="2" borderId="2" xfId="0" applyFill="1" applyBorder="1" applyAlignment="1">
      <alignment horizontal="center" shrinkToFit="1"/>
    </xf>
    <xf numFmtId="0" fontId="0" fillId="3" borderId="2" xfId="0" applyFill="1" applyBorder="1" applyAlignment="1">
      <alignment horizontal="center" shrinkToFit="1"/>
    </xf>
    <xf numFmtId="0" fontId="0" fillId="4" borderId="2" xfId="0" applyFill="1" applyBorder="1" applyAlignment="1">
      <alignment horizontal="center" shrinkToFit="1"/>
    </xf>
    <xf numFmtId="0" fontId="0" fillId="3" borderId="8" xfId="0" applyFill="1" applyBorder="1" applyAlignment="1">
      <alignment horizontal="center" shrinkToFit="1"/>
    </xf>
    <xf numFmtId="0" fontId="0" fillId="4" borderId="9" xfId="0" applyFill="1" applyBorder="1" applyAlignment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/>
    <xf numFmtId="0" fontId="21" fillId="0" borderId="0" xfId="4" applyFont="1" applyAlignment="1">
      <alignment horizontal="center"/>
    </xf>
    <xf numFmtId="0" fontId="11" fillId="0" borderId="0" xfId="4" applyFont="1" applyAlignment="1">
      <alignment vertical="center"/>
    </xf>
    <xf numFmtId="0" fontId="1" fillId="0" borderId="16" xfId="4" applyBorder="1" applyAlignment="1">
      <alignment horizontal="center" wrapText="1"/>
    </xf>
    <xf numFmtId="0" fontId="1" fillId="0" borderId="0" xfId="4" applyAlignment="1">
      <alignment horizontal="center" wrapText="1"/>
    </xf>
    <xf numFmtId="0" fontId="1" fillId="0" borderId="0" xfId="4" applyAlignment="1">
      <alignment vertical="center"/>
    </xf>
    <xf numFmtId="0" fontId="19" fillId="0" borderId="0" xfId="4" applyFont="1" applyAlignment="1">
      <alignment horizontal="center"/>
    </xf>
    <xf numFmtId="0" fontId="11" fillId="0" borderId="2" xfId="4" applyFont="1" applyBorder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Alignment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>
      <alignment horizont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2" fillId="4" borderId="25" xfId="0" applyFont="1" applyFill="1" applyBorder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/>
    </xf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19" fillId="0" borderId="0" xfId="0" applyFont="1" applyAlignment="1">
      <alignment vertical="top" wrapText="1"/>
    </xf>
    <xf numFmtId="0" fontId="4" fillId="5" borderId="38" xfId="0" applyFont="1" applyFill="1" applyBorder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2" fontId="0" fillId="8" borderId="0" xfId="0" applyNumberFormat="1" applyFill="1"/>
    <xf numFmtId="2" fontId="1" fillId="7" borderId="0" xfId="0" applyNumberFormat="1" applyFont="1" applyFill="1"/>
    <xf numFmtId="2" fontId="1" fillId="0" borderId="0" xfId="0" applyNumberFormat="1" applyFont="1"/>
    <xf numFmtId="2" fontId="1" fillId="9" borderId="0" xfId="0" applyNumberFormat="1" applyFont="1" applyFill="1"/>
    <xf numFmtId="2" fontId="1" fillId="10" borderId="0" xfId="0" applyNumberFormat="1" applyFont="1" applyFill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Alignment="1">
      <alignment horizontal="left"/>
    </xf>
    <xf numFmtId="0" fontId="1" fillId="0" borderId="0" xfId="5" applyFont="1"/>
    <xf numFmtId="0" fontId="1" fillId="2" borderId="22" xfId="0" applyFont="1" applyFill="1" applyBorder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Protection="1">
      <protection locked="0"/>
    </xf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0" fontId="18" fillId="0" borderId="0" xfId="0" applyFont="1" applyAlignment="1">
      <alignment horizontal="right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0" fillId="2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Protection="1">
      <protection hidden="1"/>
    </xf>
    <xf numFmtId="164" fontId="0" fillId="3" borderId="23" xfId="2" applyNumberFormat="1" applyFont="1" applyFill="1" applyBorder="1" applyProtection="1">
      <protection hidden="1"/>
    </xf>
    <xf numFmtId="164" fontId="0" fillId="4" borderId="24" xfId="2" applyNumberFormat="1" applyFont="1" applyFill="1" applyBorder="1" applyProtection="1">
      <protection hidden="1"/>
    </xf>
    <xf numFmtId="0" fontId="0" fillId="0" borderId="0" xfId="0" applyAlignment="1">
      <alignment vertical="top" wrapText="1"/>
    </xf>
    <xf numFmtId="164" fontId="0" fillId="0" borderId="6" xfId="0" applyNumberFormat="1" applyBorder="1" applyProtection="1">
      <protection hidden="1"/>
    </xf>
    <xf numFmtId="164" fontId="0" fillId="0" borderId="24" xfId="0" applyNumberFormat="1" applyBorder="1" applyProtection="1">
      <protection hidden="1"/>
    </xf>
    <xf numFmtId="164" fontId="0" fillId="0" borderId="0" xfId="0" applyNumberFormat="1" applyProtection="1">
      <protection hidden="1"/>
    </xf>
    <xf numFmtId="164" fontId="0" fillId="0" borderId="23" xfId="0" applyNumberFormat="1" applyBorder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Protection="1">
      <protection hidden="1"/>
    </xf>
    <xf numFmtId="0" fontId="4" fillId="0" borderId="0" xfId="0" applyFont="1"/>
    <xf numFmtId="0" fontId="2" fillId="0" borderId="0" xfId="3"/>
    <xf numFmtId="0" fontId="1" fillId="4" borderId="22" xfId="0" applyFont="1" applyFill="1" applyBorder="1" applyProtection="1">
      <protection locked="0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14" fontId="11" fillId="6" borderId="34" xfId="0" applyNumberFormat="1" applyFont="1" applyFill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11" fillId="6" borderId="16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>
      <alignment horizontal="center" wrapText="1"/>
    </xf>
    <xf numFmtId="0" fontId="1" fillId="0" borderId="16" xfId="4" applyBorder="1" applyAlignment="1">
      <alignment horizontal="center" wrapText="1"/>
    </xf>
    <xf numFmtId="0" fontId="1" fillId="0" borderId="35" xfId="4" applyBorder="1" applyAlignment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>
      <alignment horizontal="center" vertical="center"/>
    </xf>
    <xf numFmtId="0" fontId="1" fillId="0" borderId="35" xfId="4" applyBorder="1" applyAlignment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>
      <alignment horizontal="center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/>
    <xf numFmtId="0" fontId="1" fillId="2" borderId="2" xfId="0" applyFont="1" applyFill="1" applyBorder="1" applyAlignment="1" applyProtection="1">
      <alignment horizontal="center" shrinkToFit="1"/>
      <protection locked="0"/>
    </xf>
    <xf numFmtId="0" fontId="1" fillId="3" borderId="2" xfId="0" applyFont="1" applyFill="1" applyBorder="1" applyAlignment="1" applyProtection="1">
      <alignment horizontal="center" shrinkToFit="1"/>
      <protection locked="0"/>
    </xf>
    <xf numFmtId="0" fontId="1" fillId="2" borderId="37" xfId="0" applyFont="1" applyFill="1" applyBorder="1" applyAlignment="1" applyProtection="1">
      <alignment horizontal="center" shrinkToFit="1"/>
      <protection locked="0"/>
    </xf>
    <xf numFmtId="0" fontId="1" fillId="3" borderId="37" xfId="0" applyFont="1" applyFill="1" applyBorder="1" applyAlignment="1" applyProtection="1">
      <alignment horizontal="center" shrinkToFit="1"/>
      <protection locked="0"/>
    </xf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21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zoomScale="110" zoomScaleNormal="110" workbookViewId="0">
      <selection activeCell="T19" sqref="T19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0.140625" bestFit="1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3">
        <f>'Price Calculations'!H19</f>
        <v>1.6198999999999999</v>
      </c>
      <c r="B1" s="15" t="str">
        <f>'Price Calculations'!D1</f>
        <v>Trade</v>
      </c>
      <c r="D1" s="207" t="str">
        <f ca="1">IF(TODAY()&lt;40589,"This Form is Not Valid until 15th Feb","The PureWood Order Form")</f>
        <v>The PureWood Order Form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54">
        <v>0.3</v>
      </c>
      <c r="P1" s="17"/>
    </row>
    <row r="2" spans="1:20" s="1" customFormat="1" ht="13.5" thickBot="1" x14ac:dyDescent="0.25">
      <c r="A2" s="28"/>
      <c r="B2"/>
      <c r="C2" s="29"/>
      <c r="D2" s="28" t="s">
        <v>104</v>
      </c>
      <c r="E2" s="215" t="s">
        <v>342</v>
      </c>
      <c r="F2" s="216"/>
      <c r="G2" s="217"/>
      <c r="H2" s="29"/>
      <c r="I2" s="30" t="s">
        <v>105</v>
      </c>
      <c r="J2" s="180" t="s">
        <v>346</v>
      </c>
      <c r="K2" s="181"/>
      <c r="L2" s="29"/>
      <c r="M2" s="30" t="s">
        <v>106</v>
      </c>
      <c r="N2" s="208"/>
      <c r="O2" s="209"/>
    </row>
    <row r="3" spans="1:20" s="1" customFormat="1" ht="4.5" customHeight="1" thickBot="1" x14ac:dyDescent="0.25">
      <c r="A3" s="27"/>
      <c r="B3" s="27"/>
      <c r="C3" s="31"/>
      <c r="D3" s="27"/>
      <c r="E3" s="27"/>
      <c r="F3" s="27"/>
      <c r="G3" s="27"/>
      <c r="H3" s="27"/>
      <c r="I3" s="26"/>
      <c r="J3" s="27"/>
      <c r="K3" s="27"/>
      <c r="Q3" s="32"/>
    </row>
    <row r="4" spans="1:20" s="1" customFormat="1" ht="18" customHeight="1" thickBot="1" x14ac:dyDescent="0.25">
      <c r="A4" s="28"/>
      <c r="B4" s="28"/>
      <c r="C4" s="27"/>
      <c r="D4" s="28" t="s">
        <v>95</v>
      </c>
      <c r="E4" s="208" t="s">
        <v>343</v>
      </c>
      <c r="F4" s="214"/>
      <c r="G4" s="209"/>
      <c r="H4" s="27"/>
      <c r="I4" s="33" t="s">
        <v>107</v>
      </c>
      <c r="J4" s="205" t="s">
        <v>345</v>
      </c>
      <c r="K4" s="206"/>
      <c r="L4" s="27"/>
      <c r="M4" s="30" t="s">
        <v>108</v>
      </c>
      <c r="N4" s="210"/>
      <c r="O4" s="209"/>
      <c r="P4" s="34"/>
    </row>
    <row r="5" spans="1:20" ht="4.5" customHeight="1" thickBot="1" x14ac:dyDescent="0.25">
      <c r="K5" s="218"/>
      <c r="L5" s="218"/>
      <c r="M5" s="218"/>
      <c r="N5" s="218"/>
      <c r="O5" s="4"/>
      <c r="P5" s="4"/>
    </row>
    <row r="6" spans="1:20" ht="15.75" customHeight="1" thickBot="1" x14ac:dyDescent="0.25">
      <c r="A6" s="202" t="s">
        <v>121</v>
      </c>
      <c r="B6" s="202"/>
      <c r="C6" s="202"/>
      <c r="D6" s="35" t="s">
        <v>99</v>
      </c>
      <c r="E6" s="211" t="s">
        <v>268</v>
      </c>
      <c r="F6" s="212"/>
      <c r="G6" s="213"/>
      <c r="H6" s="36"/>
      <c r="I6" s="35" t="s">
        <v>63</v>
      </c>
      <c r="J6" s="205" t="s">
        <v>248</v>
      </c>
      <c r="K6" s="206"/>
      <c r="L6" s="44"/>
      <c r="M6" s="30" t="s">
        <v>184</v>
      </c>
      <c r="O6" s="146"/>
      <c r="Q6" s="4"/>
    </row>
    <row r="7" spans="1:20" ht="4.5" customHeight="1" thickBot="1" x14ac:dyDescent="0.25">
      <c r="N7" s="65"/>
    </row>
    <row r="8" spans="1:20" ht="24.75" customHeight="1" x14ac:dyDescent="0.2">
      <c r="A8" s="4"/>
      <c r="B8" s="37" t="s">
        <v>17</v>
      </c>
      <c r="C8" s="98" t="s">
        <v>0</v>
      </c>
      <c r="D8" s="38" t="s">
        <v>14</v>
      </c>
      <c r="E8" s="38" t="s">
        <v>22</v>
      </c>
      <c r="F8" s="38" t="s">
        <v>18</v>
      </c>
      <c r="G8" s="38" t="s">
        <v>86</v>
      </c>
      <c r="H8" s="38" t="s">
        <v>15</v>
      </c>
      <c r="I8" s="38" t="s">
        <v>20</v>
      </c>
      <c r="J8" s="38" t="s">
        <v>136</v>
      </c>
      <c r="K8" s="38" t="s">
        <v>77</v>
      </c>
      <c r="L8" s="38" t="s">
        <v>315</v>
      </c>
      <c r="M8" s="38" t="s">
        <v>155</v>
      </c>
      <c r="N8" s="38" t="s">
        <v>1</v>
      </c>
      <c r="O8" s="148" t="s">
        <v>328</v>
      </c>
      <c r="P8" s="5"/>
      <c r="Q8" s="4"/>
      <c r="R8" s="4"/>
      <c r="S8" s="4"/>
      <c r="T8" s="4"/>
    </row>
    <row r="9" spans="1:20" ht="15" customHeight="1" x14ac:dyDescent="0.2">
      <c r="B9" s="6" t="s">
        <v>2</v>
      </c>
      <c r="C9" s="139" t="s">
        <v>348</v>
      </c>
      <c r="D9" s="10">
        <v>1</v>
      </c>
      <c r="E9" s="10" t="s">
        <v>11</v>
      </c>
      <c r="F9" s="10" t="s">
        <v>68</v>
      </c>
      <c r="G9" s="10" t="s">
        <v>278</v>
      </c>
      <c r="H9" s="10">
        <v>730</v>
      </c>
      <c r="I9" s="10">
        <v>970</v>
      </c>
      <c r="J9" s="140">
        <f>'Price Calculations'!H8</f>
        <v>0.70809999999999995</v>
      </c>
      <c r="K9" s="10" t="s">
        <v>286</v>
      </c>
      <c r="L9" s="10" t="s">
        <v>93</v>
      </c>
      <c r="M9" s="10" t="s">
        <v>93</v>
      </c>
      <c r="N9" s="10" t="s">
        <v>87</v>
      </c>
      <c r="O9" s="156" t="s">
        <v>87</v>
      </c>
    </row>
    <row r="10" spans="1:20" ht="15" customHeight="1" x14ac:dyDescent="0.2">
      <c r="B10" s="7" t="s">
        <v>3</v>
      </c>
      <c r="C10" s="147" t="s">
        <v>348</v>
      </c>
      <c r="D10" s="11">
        <v>1</v>
      </c>
      <c r="E10" s="11" t="s">
        <v>11</v>
      </c>
      <c r="F10" s="11" t="s">
        <v>68</v>
      </c>
      <c r="G10" s="11" t="s">
        <v>278</v>
      </c>
      <c r="H10" s="11">
        <v>940</v>
      </c>
      <c r="I10" s="11">
        <v>970</v>
      </c>
      <c r="J10" s="140">
        <f>'Price Calculations'!H9</f>
        <v>0.91180000000000005</v>
      </c>
      <c r="K10" s="11" t="s">
        <v>286</v>
      </c>
      <c r="L10" s="11" t="s">
        <v>93</v>
      </c>
      <c r="M10" s="10" t="s">
        <v>93</v>
      </c>
      <c r="N10" s="10" t="s">
        <v>87</v>
      </c>
      <c r="O10" s="156" t="s">
        <v>87</v>
      </c>
    </row>
    <row r="11" spans="1:20" ht="15" customHeight="1" x14ac:dyDescent="0.2">
      <c r="B11" s="8" t="s">
        <v>4</v>
      </c>
      <c r="C11" s="179"/>
      <c r="D11" s="12"/>
      <c r="E11" s="12"/>
      <c r="F11" s="12"/>
      <c r="G11" s="12"/>
      <c r="H11" s="12"/>
      <c r="I11" s="12"/>
      <c r="J11" s="141">
        <f>'Price Calculations'!H10</f>
        <v>0</v>
      </c>
      <c r="K11" s="12"/>
      <c r="L11" s="12"/>
      <c r="M11" s="10"/>
      <c r="N11" s="10"/>
      <c r="O11" s="156"/>
    </row>
    <row r="12" spans="1:20" s="4" customFormat="1" ht="15" customHeight="1" x14ac:dyDescent="0.2">
      <c r="A12"/>
      <c r="B12" s="7" t="s">
        <v>5</v>
      </c>
      <c r="C12" s="147"/>
      <c r="D12" s="11"/>
      <c r="E12" s="11"/>
      <c r="F12" s="11"/>
      <c r="G12" s="11"/>
      <c r="H12" s="11"/>
      <c r="I12" s="11"/>
      <c r="J12" s="140">
        <f>'Price Calculations'!H11</f>
        <v>0</v>
      </c>
      <c r="K12" s="12"/>
      <c r="L12" s="12"/>
      <c r="M12" s="10"/>
      <c r="N12" s="10"/>
      <c r="O12" s="156"/>
      <c r="P12"/>
      <c r="Q12"/>
      <c r="R12"/>
      <c r="S12"/>
      <c r="T12"/>
    </row>
    <row r="13" spans="1:20" ht="15" customHeight="1" x14ac:dyDescent="0.2">
      <c r="B13" s="6" t="s">
        <v>6</v>
      </c>
      <c r="C13" s="102"/>
      <c r="D13" s="10"/>
      <c r="E13" s="10"/>
      <c r="F13" s="10"/>
      <c r="G13" s="10"/>
      <c r="H13" s="10"/>
      <c r="I13" s="10"/>
      <c r="J13" s="142">
        <f>'Price Calculations'!H12</f>
        <v>0</v>
      </c>
      <c r="K13" s="10"/>
      <c r="L13" s="10"/>
      <c r="M13" s="10"/>
      <c r="N13" s="10"/>
      <c r="O13" s="156"/>
    </row>
    <row r="14" spans="1:20" s="4" customFormat="1" ht="15" customHeight="1" x14ac:dyDescent="0.2">
      <c r="A14"/>
      <c r="B14" s="40" t="s">
        <v>109</v>
      </c>
      <c r="C14" s="100"/>
      <c r="D14" s="41"/>
      <c r="E14" s="41"/>
      <c r="F14" s="41"/>
      <c r="G14" s="41"/>
      <c r="H14" s="41"/>
      <c r="I14" s="41"/>
      <c r="J14" s="143">
        <f>'Price Calculations'!H13</f>
        <v>0</v>
      </c>
      <c r="K14" s="41"/>
      <c r="L14" s="41"/>
      <c r="M14" s="41"/>
      <c r="N14" s="41"/>
      <c r="O14" s="158"/>
      <c r="P14"/>
      <c r="Q14"/>
      <c r="R14"/>
      <c r="S14"/>
      <c r="T14"/>
    </row>
    <row r="15" spans="1:20" ht="15" customHeight="1" x14ac:dyDescent="0.2">
      <c r="B15" s="8" t="s">
        <v>110</v>
      </c>
      <c r="C15" s="101"/>
      <c r="D15" s="12"/>
      <c r="E15" s="12"/>
      <c r="F15" s="12"/>
      <c r="G15" s="12"/>
      <c r="H15" s="12"/>
      <c r="I15" s="12"/>
      <c r="J15" s="141">
        <f>'Price Calculations'!H14</f>
        <v>0</v>
      </c>
      <c r="K15" s="12"/>
      <c r="L15" s="12"/>
      <c r="M15" s="12"/>
      <c r="N15" s="12"/>
      <c r="O15" s="157"/>
    </row>
    <row r="16" spans="1:20" s="4" customFormat="1" ht="15" customHeight="1" x14ac:dyDescent="0.2">
      <c r="A16"/>
      <c r="B16" s="40" t="s">
        <v>111</v>
      </c>
      <c r="C16" s="100"/>
      <c r="D16" s="41"/>
      <c r="E16" s="41"/>
      <c r="F16" s="41"/>
      <c r="G16" s="41"/>
      <c r="H16" s="41"/>
      <c r="I16" s="41"/>
      <c r="J16" s="143">
        <f>'Price Calculations'!H15</f>
        <v>0</v>
      </c>
      <c r="K16" s="41"/>
      <c r="L16" s="41"/>
      <c r="M16" s="41"/>
      <c r="N16" s="41"/>
      <c r="O16" s="158"/>
      <c r="P16"/>
      <c r="Q16"/>
      <c r="R16"/>
      <c r="S16"/>
      <c r="T16"/>
    </row>
    <row r="17" spans="1:21" ht="15" customHeight="1" x14ac:dyDescent="0.2">
      <c r="B17" s="6" t="s">
        <v>112</v>
      </c>
      <c r="C17" s="102"/>
      <c r="D17" s="10"/>
      <c r="E17" s="10"/>
      <c r="F17" s="10"/>
      <c r="G17" s="10"/>
      <c r="H17" s="10"/>
      <c r="I17" s="10"/>
      <c r="J17" s="142">
        <f>'Price Calculations'!H16</f>
        <v>0</v>
      </c>
      <c r="K17" s="10"/>
      <c r="L17" s="10"/>
      <c r="M17" s="10"/>
      <c r="N17" s="10"/>
      <c r="O17" s="156"/>
    </row>
    <row r="18" spans="1:21" s="4" customFormat="1" ht="15" customHeight="1" x14ac:dyDescent="0.2">
      <c r="A18"/>
      <c r="B18" s="40" t="s">
        <v>113</v>
      </c>
      <c r="C18" s="100"/>
      <c r="D18" s="41"/>
      <c r="E18" s="41"/>
      <c r="F18" s="41"/>
      <c r="G18" s="41"/>
      <c r="H18" s="41"/>
      <c r="I18" s="41"/>
      <c r="J18" s="143">
        <f>'Price Calculations'!H17</f>
        <v>0</v>
      </c>
      <c r="K18" s="41"/>
      <c r="L18" s="41"/>
      <c r="M18" s="41"/>
      <c r="N18" s="41"/>
      <c r="O18" s="158"/>
      <c r="P18"/>
      <c r="Q18"/>
      <c r="R18"/>
      <c r="S18"/>
      <c r="T18"/>
    </row>
    <row r="19" spans="1:21" ht="15" customHeight="1" thickBot="1" x14ac:dyDescent="0.25">
      <c r="B19" s="66" t="s">
        <v>114</v>
      </c>
      <c r="C19" s="150"/>
      <c r="D19" s="67"/>
      <c r="E19" s="67"/>
      <c r="F19" s="67"/>
      <c r="G19" s="67"/>
      <c r="H19" s="67"/>
      <c r="I19" s="67"/>
      <c r="J19" s="144">
        <f>'Price Calculations'!H18</f>
        <v>0</v>
      </c>
      <c r="K19" s="67"/>
      <c r="L19" s="67"/>
      <c r="M19" s="67"/>
      <c r="N19" s="67"/>
      <c r="O19" s="159"/>
    </row>
    <row r="20" spans="1:21" s="51" customFormat="1" ht="15" customHeight="1" thickBot="1" x14ac:dyDescent="0.25">
      <c r="F20" s="153"/>
      <c r="G20" s="154"/>
      <c r="H20" s="155"/>
      <c r="I20" s="154"/>
      <c r="J20" s="145">
        <f>SUM(J9:J19)</f>
        <v>1.6198999999999999</v>
      </c>
      <c r="K20" s="72" t="s">
        <v>138</v>
      </c>
      <c r="O20" s="149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4"/>
      <c r="B22" s="37" t="s">
        <v>17</v>
      </c>
      <c r="C22" s="38" t="s">
        <v>316</v>
      </c>
      <c r="D22" s="38" t="s">
        <v>30</v>
      </c>
      <c r="E22" s="38" t="s">
        <v>26</v>
      </c>
      <c r="F22" s="38" t="s">
        <v>27</v>
      </c>
      <c r="G22" s="58" t="s">
        <v>29</v>
      </c>
      <c r="H22" s="38" t="s">
        <v>274</v>
      </c>
      <c r="I22" s="58" t="s">
        <v>28</v>
      </c>
      <c r="J22" s="38" t="str">
        <f>IF(WoodType="Vogue"," ","Cut-Outs")</f>
        <v>Cut-Outs</v>
      </c>
      <c r="K22" s="121" t="str">
        <f>IF(WoodType="Vogue"," ","Qty Blinds per Headrail")</f>
        <v>Qty Blinds per Headrail</v>
      </c>
      <c r="L22" s="175" t="s">
        <v>330</v>
      </c>
      <c r="M22" s="169" t="s">
        <v>334</v>
      </c>
      <c r="N22" s="37" t="s">
        <v>7</v>
      </c>
      <c r="O22" s="160" t="s">
        <v>8</v>
      </c>
      <c r="Q22" s="4"/>
      <c r="R22" s="4"/>
      <c r="S22" s="4"/>
      <c r="T22" s="4"/>
      <c r="U22" s="4"/>
    </row>
    <row r="23" spans="1:21" ht="15" customHeight="1" x14ac:dyDescent="0.2">
      <c r="B23" s="6" t="s">
        <v>2</v>
      </c>
      <c r="C23" s="10" t="s">
        <v>93</v>
      </c>
      <c r="D23" s="10" t="s">
        <v>240</v>
      </c>
      <c r="E23" s="10" t="s">
        <v>58</v>
      </c>
      <c r="F23" s="10" t="s">
        <v>59</v>
      </c>
      <c r="G23" s="114" t="s">
        <v>197</v>
      </c>
      <c r="H23" s="114" t="s">
        <v>115</v>
      </c>
      <c r="I23" s="59" t="s">
        <v>140</v>
      </c>
      <c r="J23" s="10" t="s">
        <v>35</v>
      </c>
      <c r="K23" s="114">
        <v>1</v>
      </c>
      <c r="L23" s="267" t="s">
        <v>347</v>
      </c>
      <c r="M23" s="269" t="s">
        <v>347</v>
      </c>
      <c r="N23" s="6">
        <f ca="1">IF(ISNA('Price Calculations'!Z38),"",ROUND('Price Calculations'!Z38,2))</f>
        <v>46.84</v>
      </c>
      <c r="O23" s="176">
        <f ca="1">IF(C9="","",IF(ISNA('Price Calculations'!AA38),"Incomplete details",'Price Calculations'!AA38))</f>
        <v>46.84</v>
      </c>
    </row>
    <row r="24" spans="1:21" ht="15" customHeight="1" x14ac:dyDescent="0.2">
      <c r="B24" s="7" t="s">
        <v>3</v>
      </c>
      <c r="C24" s="10" t="s">
        <v>93</v>
      </c>
      <c r="D24" s="10" t="s">
        <v>240</v>
      </c>
      <c r="E24" s="10" t="s">
        <v>58</v>
      </c>
      <c r="F24" s="10" t="s">
        <v>59</v>
      </c>
      <c r="G24" s="114" t="s">
        <v>197</v>
      </c>
      <c r="H24" s="114" t="s">
        <v>115</v>
      </c>
      <c r="I24" s="59" t="s">
        <v>140</v>
      </c>
      <c r="J24" s="10" t="s">
        <v>35</v>
      </c>
      <c r="K24" s="114">
        <v>1</v>
      </c>
      <c r="L24" s="268" t="s">
        <v>347</v>
      </c>
      <c r="M24" s="270" t="s">
        <v>347</v>
      </c>
      <c r="N24" s="7">
        <f ca="1">IF(ISNA('Price Calculations'!Z39),"",ROUND('Price Calculations'!Z39,2))</f>
        <v>61.76</v>
      </c>
      <c r="O24" s="162">
        <f ca="1">IF(C10="","",IF(ISNA('Price Calculations'!AA39),"Incomplete details",'Price Calculations'!AA39))</f>
        <v>61.760999999999996</v>
      </c>
    </row>
    <row r="25" spans="1:21" ht="15" customHeight="1" x14ac:dyDescent="0.2">
      <c r="B25" s="8" t="s">
        <v>4</v>
      </c>
      <c r="C25" s="10"/>
      <c r="D25" s="10"/>
      <c r="E25" s="10"/>
      <c r="F25" s="10"/>
      <c r="G25" s="114"/>
      <c r="H25" s="114"/>
      <c r="I25" s="59"/>
      <c r="J25" s="10"/>
      <c r="K25" s="114"/>
      <c r="L25" s="12"/>
      <c r="M25" s="172"/>
      <c r="N25" s="8">
        <f ca="1">IF(ISNA('Price Calculations'!Z40),"",ROUND('Price Calculations'!Z40,2))</f>
        <v>0</v>
      </c>
      <c r="O25" s="161" t="str">
        <f>IF(C11="","",IF(ISNA('Price Calculations'!AA40),"Incomplete details",'Price Calculations'!AA40))</f>
        <v/>
      </c>
    </row>
    <row r="26" spans="1:21" ht="15" customHeight="1" x14ac:dyDescent="0.2">
      <c r="B26" s="7" t="s">
        <v>5</v>
      </c>
      <c r="C26" s="10"/>
      <c r="D26" s="10"/>
      <c r="E26" s="10"/>
      <c r="F26" s="10"/>
      <c r="G26" s="114"/>
      <c r="H26" s="114"/>
      <c r="I26" s="59"/>
      <c r="J26" s="10"/>
      <c r="K26" s="114"/>
      <c r="L26" s="11"/>
      <c r="M26" s="171"/>
      <c r="N26" s="7">
        <f ca="1">IF(ISNA('Price Calculations'!Z41),"",ROUND('Price Calculations'!Z41,2))</f>
        <v>0</v>
      </c>
      <c r="O26" s="162" t="str">
        <f>IF(C12="","",IF(ISNA('Price Calculations'!AA41),"Incomplete details",'Price Calculations'!AA41))</f>
        <v/>
      </c>
    </row>
    <row r="27" spans="1:21" ht="15" customHeight="1" x14ac:dyDescent="0.2">
      <c r="B27" s="6" t="s">
        <v>6</v>
      </c>
      <c r="C27" s="10"/>
      <c r="D27" s="10"/>
      <c r="E27" s="10"/>
      <c r="F27" s="10"/>
      <c r="G27" s="114"/>
      <c r="H27" s="114"/>
      <c r="I27" s="59"/>
      <c r="J27" s="10"/>
      <c r="K27" s="114"/>
      <c r="L27" s="10"/>
      <c r="M27" s="170"/>
      <c r="N27" s="6">
        <f ca="1">IF(ISNA('Price Calculations'!Z42),"",ROUND('Price Calculations'!Z42,2))</f>
        <v>0</v>
      </c>
      <c r="O27" s="176" t="str">
        <f>IF(C13="","",IF(ISNA('Price Calculations'!AA42),"Incomplete details",'Price Calculations'!AA42))</f>
        <v/>
      </c>
    </row>
    <row r="28" spans="1:21" ht="15" customHeight="1" x14ac:dyDescent="0.2">
      <c r="B28" s="40" t="s">
        <v>109</v>
      </c>
      <c r="C28" s="41"/>
      <c r="D28" s="41"/>
      <c r="E28" s="41"/>
      <c r="F28" s="41"/>
      <c r="G28" s="115"/>
      <c r="H28" s="115"/>
      <c r="I28" s="60"/>
      <c r="J28" s="41"/>
      <c r="K28" s="122"/>
      <c r="L28" s="41"/>
      <c r="M28" s="173"/>
      <c r="N28" s="40">
        <f ca="1">IF(ISNA('Price Calculations'!Z43),"",ROUND('Price Calculations'!Z43,2))</f>
        <v>0</v>
      </c>
      <c r="O28" s="162" t="str">
        <f>IF(C14="","",IF(ISNA('Price Calculations'!AA43),"Incomplete details",'Price Calculations'!AA43))</f>
        <v/>
      </c>
    </row>
    <row r="29" spans="1:21" ht="15" customHeight="1" x14ac:dyDescent="0.2">
      <c r="B29" s="8" t="s">
        <v>110</v>
      </c>
      <c r="C29" s="12"/>
      <c r="D29" s="12"/>
      <c r="E29" s="12"/>
      <c r="F29" s="12"/>
      <c r="G29" s="116"/>
      <c r="H29" s="116"/>
      <c r="I29" s="61"/>
      <c r="J29" s="12"/>
      <c r="K29" s="116"/>
      <c r="L29" s="12"/>
      <c r="M29" s="172"/>
      <c r="N29" s="8">
        <f ca="1">IF(ISNA('Price Calculations'!Z44),"",ROUND('Price Calculations'!Z44,2))</f>
        <v>0</v>
      </c>
      <c r="O29" s="161" t="str">
        <f>IF(C15="","",IF(ISNA('Price Calculations'!AA44),"Incomplete details",'Price Calculations'!AA44))</f>
        <v/>
      </c>
    </row>
    <row r="30" spans="1:21" ht="15" customHeight="1" x14ac:dyDescent="0.2">
      <c r="B30" s="40" t="s">
        <v>111</v>
      </c>
      <c r="C30" s="41"/>
      <c r="D30" s="41"/>
      <c r="E30" s="41"/>
      <c r="F30" s="41"/>
      <c r="G30" s="115"/>
      <c r="H30" s="115"/>
      <c r="I30" s="60"/>
      <c r="J30" s="41"/>
      <c r="K30" s="122"/>
      <c r="L30" s="41"/>
      <c r="M30" s="173"/>
      <c r="N30" s="40">
        <f ca="1">IF(ISNA('Price Calculations'!Z45),"",ROUND('Price Calculations'!Z45,2))</f>
        <v>0</v>
      </c>
      <c r="O30" s="162" t="str">
        <f>IF(C16="","",IF(ISNA('Price Calculations'!AA45),"Incomplete details",'Price Calculations'!AA45))</f>
        <v/>
      </c>
    </row>
    <row r="31" spans="1:21" ht="15" customHeight="1" x14ac:dyDescent="0.2">
      <c r="B31" s="6" t="s">
        <v>112</v>
      </c>
      <c r="C31" s="10"/>
      <c r="D31" s="10"/>
      <c r="E31" s="10"/>
      <c r="F31" s="10"/>
      <c r="G31" s="114"/>
      <c r="H31" s="114"/>
      <c r="I31" s="59"/>
      <c r="J31" s="10"/>
      <c r="K31" s="114"/>
      <c r="L31" s="10"/>
      <c r="M31" s="170"/>
      <c r="N31" s="6">
        <f ca="1">IF(ISNA('Price Calculations'!Z46),"",ROUND('Price Calculations'!Z46,2))</f>
        <v>0</v>
      </c>
      <c r="O31" s="176" t="str">
        <f>IF(C17="","",IF(ISNA('Price Calculations'!AA46),"Incomplete details",'Price Calculations'!AA46))</f>
        <v/>
      </c>
    </row>
    <row r="32" spans="1:21" ht="15" customHeight="1" x14ac:dyDescent="0.2">
      <c r="B32" s="40" t="s">
        <v>113</v>
      </c>
      <c r="C32" s="41"/>
      <c r="D32" s="41"/>
      <c r="E32" s="41"/>
      <c r="F32" s="41"/>
      <c r="G32" s="115"/>
      <c r="H32" s="115"/>
      <c r="I32" s="60"/>
      <c r="J32" s="41"/>
      <c r="K32" s="122"/>
      <c r="L32" s="41"/>
      <c r="M32" s="173"/>
      <c r="N32" s="40">
        <f ca="1">IF(ISNA('Price Calculations'!Z47),"",ROUND('Price Calculations'!Z47,2))</f>
        <v>0</v>
      </c>
      <c r="O32" s="162" t="str">
        <f>IF(C18="","",IF(ISNA('Price Calculations'!AA47),"Incomplete details",'Price Calculations'!AA47))</f>
        <v/>
      </c>
    </row>
    <row r="33" spans="2:16" ht="15" customHeight="1" thickBot="1" x14ac:dyDescent="0.25">
      <c r="B33" s="66" t="s">
        <v>114</v>
      </c>
      <c r="C33" s="67"/>
      <c r="D33" s="67"/>
      <c r="E33" s="67"/>
      <c r="F33" s="67"/>
      <c r="G33" s="117"/>
      <c r="H33" s="117"/>
      <c r="I33" s="68"/>
      <c r="J33" s="67"/>
      <c r="K33" s="117"/>
      <c r="L33" s="67"/>
      <c r="M33" s="174"/>
      <c r="N33" s="66">
        <f ca="1">IF(ISNA('Price Calculations'!Z48),"",ROUND('Price Calculations'!Z48,2))</f>
        <v>0</v>
      </c>
      <c r="O33" s="163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186" t="s">
        <v>66</v>
      </c>
      <c r="C35" s="187"/>
      <c r="D35" s="187"/>
      <c r="E35" s="187"/>
      <c r="F35" s="187"/>
      <c r="G35" s="187"/>
      <c r="H35" s="186" t="str">
        <f>IF(DeliverAddress="Alternative","Alternative Address","")</f>
        <v/>
      </c>
      <c r="I35" s="194"/>
      <c r="J35" s="120" t="s">
        <v>258</v>
      </c>
      <c r="K35" s="177"/>
      <c r="L35" t="str">
        <f>IF(L36&lt;&gt;" ","Extras","")</f>
        <v/>
      </c>
      <c r="M35" s="195"/>
      <c r="N35" s="195"/>
      <c r="O35" s="178">
        <f>'Price Calculations'!D54</f>
        <v>0</v>
      </c>
      <c r="P35" s="167"/>
    </row>
    <row r="36" spans="2:16" x14ac:dyDescent="0.2">
      <c r="B36" s="188"/>
      <c r="C36" s="189"/>
      <c r="D36" s="189"/>
      <c r="E36" s="189"/>
      <c r="F36" s="189"/>
      <c r="G36" s="189"/>
      <c r="H36" s="189"/>
      <c r="I36" s="189"/>
      <c r="J36" s="123"/>
      <c r="K36" s="164"/>
      <c r="L36" s="119" t="str">
        <f>'Price Calculations'!Z59</f>
        <v xml:space="preserve"> </v>
      </c>
      <c r="M36" s="198" t="s">
        <v>259</v>
      </c>
      <c r="N36" s="199"/>
      <c r="O36" s="165">
        <f ca="1">'Price Calculations'!X60</f>
        <v>0</v>
      </c>
      <c r="P36" s="167"/>
    </row>
    <row r="37" spans="2:16" x14ac:dyDescent="0.2">
      <c r="B37" s="190"/>
      <c r="C37" s="191"/>
      <c r="D37" s="191"/>
      <c r="E37" s="191"/>
      <c r="F37" s="191"/>
      <c r="G37" s="191"/>
      <c r="H37" s="191"/>
      <c r="I37" s="191"/>
      <c r="J37" s="124"/>
      <c r="K37" s="164"/>
      <c r="L37" s="119"/>
      <c r="M37" s="200" t="s">
        <v>119</v>
      </c>
      <c r="N37" s="201"/>
      <c r="O37" s="168">
        <f ca="1">'Price Calculations'!X61</f>
        <v>0</v>
      </c>
      <c r="P37" s="167"/>
    </row>
    <row r="38" spans="2:16" ht="13.5" thickBot="1" x14ac:dyDescent="0.25">
      <c r="B38" s="190"/>
      <c r="C38" s="191"/>
      <c r="D38" s="191"/>
      <c r="E38" s="191"/>
      <c r="F38" s="191"/>
      <c r="G38" s="191"/>
      <c r="H38" s="191"/>
      <c r="I38" s="191"/>
      <c r="J38" s="124"/>
      <c r="K38" s="164"/>
      <c r="L38" s="119"/>
      <c r="M38" s="196" t="str">
        <f>IF('Price Calculations'!X59&gt;0,"Extras","")</f>
        <v/>
      </c>
      <c r="N38" s="197"/>
      <c r="O38" s="168">
        <f>'Price Calculations'!X59</f>
        <v>0</v>
      </c>
      <c r="P38" s="167"/>
    </row>
    <row r="39" spans="2:16" x14ac:dyDescent="0.2">
      <c r="B39" s="190"/>
      <c r="C39" s="191"/>
      <c r="D39" s="191"/>
      <c r="E39" s="191"/>
      <c r="F39" s="191"/>
      <c r="G39" s="191"/>
      <c r="H39" s="191"/>
      <c r="I39" s="191"/>
      <c r="J39" s="124"/>
      <c r="K39" s="164"/>
      <c r="L39" s="119"/>
      <c r="M39" s="184" t="s">
        <v>64</v>
      </c>
      <c r="N39" s="185"/>
      <c r="O39" s="165">
        <f ca="1">IF(OR(O24="POA",O25="POA",O26="POA",O27="POA",O28="POA",O29="POA",O30="POA",O31="POA",O32="POA",O33="POA",O35="POA"),"POA",'Price Calculations'!X66+O35+O38)</f>
        <v>108.6</v>
      </c>
      <c r="P39" s="178"/>
    </row>
    <row r="40" spans="2:16" x14ac:dyDescent="0.2">
      <c r="B40" s="190"/>
      <c r="C40" s="191"/>
      <c r="D40" s="191"/>
      <c r="E40" s="191"/>
      <c r="F40" s="191"/>
      <c r="G40" s="191"/>
      <c r="H40" s="191"/>
      <c r="I40" s="191"/>
      <c r="J40" s="124"/>
      <c r="K40" s="164"/>
      <c r="L40" s="119"/>
      <c r="M40" s="184" t="s">
        <v>344</v>
      </c>
      <c r="N40" s="185"/>
      <c r="O40" s="168">
        <f ca="1">IF(O35="POA","POA",ROUND(O39*VAT_Rate,2))</f>
        <v>0</v>
      </c>
      <c r="P40" s="167"/>
    </row>
    <row r="41" spans="2:16" ht="13.5" thickBot="1" x14ac:dyDescent="0.25">
      <c r="B41" s="192"/>
      <c r="C41" s="193"/>
      <c r="D41" s="193"/>
      <c r="E41" s="193"/>
      <c r="F41" s="193"/>
      <c r="G41" s="193"/>
      <c r="H41" s="193"/>
      <c r="I41" s="193"/>
      <c r="J41" s="125"/>
      <c r="K41" s="164"/>
      <c r="L41" s="42"/>
      <c r="M41" s="182" t="s">
        <v>65</v>
      </c>
      <c r="N41" s="183"/>
      <c r="O41" s="166">
        <f ca="1">IF(ISNA(O35),"Incomplete details",IF(O35="POA","POA",SUM(O39:P40)))</f>
        <v>108.6</v>
      </c>
      <c r="P41" s="167"/>
    </row>
    <row r="42" spans="2:16" x14ac:dyDescent="0.2">
      <c r="C42" s="57"/>
      <c r="M42" s="26" t="s">
        <v>103</v>
      </c>
      <c r="N42" s="138" t="s">
        <v>341</v>
      </c>
      <c r="O42" s="52">
        <v>43466</v>
      </c>
    </row>
    <row r="43" spans="2:16" x14ac:dyDescent="0.2">
      <c r="C43" s="57"/>
    </row>
    <row r="44" spans="2:16" x14ac:dyDescent="0.2">
      <c r="L44" s="53"/>
    </row>
    <row r="45" spans="2:16" x14ac:dyDescent="0.2">
      <c r="L45" s="53"/>
    </row>
  </sheetData>
  <sheetProtection algorithmName="SHA-512" hashValue="XE6cM2NLeBEDIQnMD2o6XJKq4cKqduO/vI4ybDFr8qCAxLvfC2t/NQIKEchVtZZ/FEPL6uvaQVxXZE0ZhLr26Q==" saltValue="UTd5ReMBja7Di10Y95MMAw==" spinCount="100000" sheet="1" objects="1" scenarios="1"/>
  <mergeCells count="21">
    <mergeCell ref="A6:C6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23 D27:M33 L24:M26">
    <cfRule type="expression" dxfId="20" priority="21" stopIfTrue="1">
      <formula>AND($C9&lt;&gt;"",D23="")</formula>
    </cfRule>
  </conditionalFormatting>
  <conditionalFormatting sqref="D9:O19">
    <cfRule type="expression" dxfId="19" priority="32" stopIfTrue="1">
      <formula>AND($C9&lt;&gt;"",D9="")</formula>
    </cfRule>
  </conditionalFormatting>
  <conditionalFormatting sqref="C9:C19">
    <cfRule type="expression" dxfId="18" priority="34" stopIfTrue="1">
      <formula>AND(C9="",$E$6&lt;&gt;"",D9&lt;&gt;"")</formula>
    </cfRule>
  </conditionalFormatting>
  <conditionalFormatting sqref="J4:K4 J2:K2 E4 E2 J6:K6">
    <cfRule type="expression" dxfId="17" priority="25" stopIfTrue="1">
      <formula>AND(COUNTA($G$1,$M$1)&gt;0,COUNTA(E2)=0)</formula>
    </cfRule>
  </conditionalFormatting>
  <conditionalFormatting sqref="O39">
    <cfRule type="expression" dxfId="16" priority="26" stopIfTrue="1">
      <formula>(O39&lt;(55*(1-Discount)))</formula>
    </cfRule>
  </conditionalFormatting>
  <conditionalFormatting sqref="E6:G6">
    <cfRule type="cellIs" dxfId="15" priority="29" stopIfTrue="1" operator="lessThan">
      <formula>"a"</formula>
    </cfRule>
  </conditionalFormatting>
  <conditionalFormatting sqref="G20">
    <cfRule type="expression" dxfId="14" priority="3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13" priority="40" stopIfTrue="1">
      <formula>AND(RIGHT(DeliveryChoice,1)="s",J36="")</formula>
    </cfRule>
  </conditionalFormatting>
  <conditionalFormatting sqref="I20">
    <cfRule type="expression" dxfId="12" priority="16" stopIfTrue="1">
      <formula>AND(I20&lt;1,COUNTIF($F$9:$F$19,"Other swatch (Paint)")+COUNTIF($F$9:$F$19,"Other swatch (Stain)")&gt;0)</formula>
    </cfRule>
  </conditionalFormatting>
  <conditionalFormatting sqref="H36:I41">
    <cfRule type="expression" dxfId="11" priority="14">
      <formula>DeliverAddress="Alternative"</formula>
    </cfRule>
  </conditionalFormatting>
  <conditionalFormatting sqref="C23 C27:C33">
    <cfRule type="expression" dxfId="10" priority="12" stopIfTrue="1">
      <formula>AND($C9&lt;&gt;"",C23="")</formula>
    </cfRule>
  </conditionalFormatting>
  <conditionalFormatting sqref="D26:K26">
    <cfRule type="expression" dxfId="9" priority="6" stopIfTrue="1">
      <formula>AND($C12&lt;&gt;"",D26="")</formula>
    </cfRule>
  </conditionalFormatting>
  <conditionalFormatting sqref="C26">
    <cfRule type="expression" dxfId="8" priority="5" stopIfTrue="1">
      <formula>AND($C12&lt;&gt;"",C26="")</formula>
    </cfRule>
  </conditionalFormatting>
  <conditionalFormatting sqref="D24:K24">
    <cfRule type="expression" dxfId="7" priority="4" stopIfTrue="1">
      <formula>AND($C10&lt;&gt;"",D24="")</formula>
    </cfRule>
  </conditionalFormatting>
  <conditionalFormatting sqref="C24">
    <cfRule type="expression" dxfId="6" priority="3" stopIfTrue="1">
      <formula>AND($C10&lt;&gt;"",C24="")</formula>
    </cfRule>
  </conditionalFormatting>
  <conditionalFormatting sqref="D25:K25">
    <cfRule type="expression" dxfId="5" priority="2" stopIfTrue="1">
      <formula>AND($C11&lt;&gt;"",D25="")</formula>
    </cfRule>
  </conditionalFormatting>
  <conditionalFormatting sqref="C25">
    <cfRule type="expression" dxfId="4" priority="1" stopIfTrue="1">
      <formula>AND($C11&lt;&gt;"",C25="")</formula>
    </cfRule>
  </conditionalFormatting>
  <dataValidations count="20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3">
        <f>'Price Calculations'!H19</f>
        <v>1.6198999999999999</v>
      </c>
      <c r="B1" s="15" t="str">
        <f>'Price Calculations'!D1</f>
        <v>Trade</v>
      </c>
      <c r="D1" s="207" t="str">
        <f ca="1">IF(TODAY()&lt;40589,"This Form is Not Valid until 15th Feb","The PureWood Order Form")</f>
        <v>The PureWood Order Form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54">
        <v>0.32500000000000001</v>
      </c>
      <c r="P1" s="17"/>
    </row>
    <row r="2" spans="1:20" s="1" customFormat="1" ht="13.5" thickBot="1" x14ac:dyDescent="0.25">
      <c r="A2" s="28"/>
      <c r="B2"/>
      <c r="C2" s="29"/>
      <c r="D2" s="28" t="s">
        <v>104</v>
      </c>
      <c r="E2" s="215" t="str">
        <f>Dealer_Name</f>
        <v>CP Interiors</v>
      </c>
      <c r="F2" s="216"/>
      <c r="G2" s="217"/>
      <c r="H2" s="29"/>
      <c r="I2" s="30" t="s">
        <v>105</v>
      </c>
      <c r="J2" s="203" t="str">
        <f>Dealer_Order_No</f>
        <v>So8618</v>
      </c>
      <c r="K2" s="204"/>
      <c r="L2" s="29"/>
      <c r="M2" s="30" t="s">
        <v>106</v>
      </c>
      <c r="N2" s="208">
        <f>SC_Order_No</f>
        <v>0</v>
      </c>
      <c r="O2" s="209"/>
    </row>
    <row r="3" spans="1:20" s="1" customFormat="1" ht="4.5" customHeight="1" thickBot="1" x14ac:dyDescent="0.25">
      <c r="A3" s="27"/>
      <c r="B3" s="27"/>
      <c r="C3" s="31"/>
      <c r="D3" s="27"/>
      <c r="E3" s="27"/>
      <c r="F3" s="27"/>
      <c r="G3" s="27"/>
      <c r="H3" s="27"/>
      <c r="I3" s="26"/>
      <c r="J3" s="27"/>
      <c r="K3" s="27"/>
      <c r="Q3" s="32"/>
    </row>
    <row r="4" spans="1:20" s="1" customFormat="1" ht="18" customHeight="1" thickBot="1" x14ac:dyDescent="0.25">
      <c r="A4" s="28"/>
      <c r="B4" s="28"/>
      <c r="C4" s="27"/>
      <c r="D4" s="28" t="s">
        <v>95</v>
      </c>
      <c r="E4" s="208" t="str">
        <f>SC_ACno</f>
        <v>CPSUN</v>
      </c>
      <c r="F4" s="214"/>
      <c r="G4" s="209"/>
      <c r="H4" s="27"/>
      <c r="I4" s="33" t="s">
        <v>107</v>
      </c>
      <c r="J4" s="205" t="str">
        <f>Customer_Name</f>
        <v xml:space="preserve"> Launder</v>
      </c>
      <c r="K4" s="206"/>
      <c r="L4" s="27"/>
      <c r="M4" s="30" t="s">
        <v>108</v>
      </c>
      <c r="N4" s="210">
        <f>Order_Date</f>
        <v>0</v>
      </c>
      <c r="O4" s="209"/>
      <c r="P4" s="34"/>
    </row>
    <row r="5" spans="1:20" ht="4.5" customHeight="1" thickBot="1" x14ac:dyDescent="0.25">
      <c r="K5" s="218"/>
      <c r="L5" s="218"/>
      <c r="M5" s="218"/>
      <c r="N5" s="218"/>
      <c r="O5" s="4"/>
      <c r="P5" s="4"/>
    </row>
    <row r="6" spans="1:20" ht="15.75" customHeight="1" thickBot="1" x14ac:dyDescent="0.25">
      <c r="A6" s="202" t="s">
        <v>121</v>
      </c>
      <c r="B6" s="202"/>
      <c r="C6" s="202"/>
      <c r="D6" s="35" t="s">
        <v>99</v>
      </c>
      <c r="E6" s="211" t="str">
        <f>WoodType</f>
        <v>PureWood Blinds</v>
      </c>
      <c r="F6" s="212"/>
      <c r="G6" s="213"/>
      <c r="H6" s="36"/>
      <c r="I6" s="35" t="s">
        <v>63</v>
      </c>
      <c r="J6" s="205" t="str">
        <f>DeliveryChoice</f>
        <v>Standard (air)</v>
      </c>
      <c r="K6" s="206"/>
      <c r="L6" s="44"/>
      <c r="M6" s="30" t="s">
        <v>184</v>
      </c>
      <c r="Q6" s="4"/>
    </row>
    <row r="7" spans="1:20" ht="4.5" customHeight="1" thickBot="1" x14ac:dyDescent="0.25">
      <c r="N7" s="65"/>
    </row>
    <row r="8" spans="1:20" ht="24.75" customHeight="1" x14ac:dyDescent="0.2">
      <c r="A8" s="4"/>
      <c r="B8" s="37" t="s">
        <v>17</v>
      </c>
      <c r="C8" s="98" t="str">
        <f>'Order Form'!C8</f>
        <v>Room</v>
      </c>
      <c r="D8" s="38" t="str">
        <f>'Order Form'!D8</f>
        <v>Qty</v>
      </c>
      <c r="E8" s="38" t="str">
        <f>'Order Form'!E8</f>
        <v>Slat Size</v>
      </c>
      <c r="F8" s="38" t="str">
        <f>'Order Form'!F8</f>
        <v>Colour</v>
      </c>
      <c r="G8" s="38" t="str">
        <f>'Order Form'!G8</f>
        <v>Mount Type</v>
      </c>
      <c r="H8" s="38" t="str">
        <f>'Order Form'!H8</f>
        <v>Width (mm)</v>
      </c>
      <c r="I8" s="38" t="str">
        <f>'Order Form'!I8</f>
        <v>Height (mm)</v>
      </c>
      <c r="J8" s="38" t="str">
        <f>'Order Form'!J8</f>
        <v>Sq M</v>
      </c>
      <c r="K8" s="38" t="str">
        <f>'Order Form'!L8</f>
        <v>Headrail Colour</v>
      </c>
      <c r="L8" s="38" t="str">
        <f>'Order Form'!O8</f>
        <v>Tape Colour</v>
      </c>
      <c r="M8" s="38" t="str">
        <f>'Order Form'!K8</f>
        <v>Ladder Options</v>
      </c>
      <c r="N8" s="38" t="str">
        <f>'Order Form'!M8</f>
        <v>Ladder Colour</v>
      </c>
      <c r="O8" s="39" t="str">
        <f>'Order Form'!N8</f>
        <v>Decorative Tape Design</v>
      </c>
      <c r="P8" s="5"/>
      <c r="Q8" s="4"/>
      <c r="R8" s="4"/>
      <c r="S8" s="4"/>
      <c r="T8" s="4"/>
    </row>
    <row r="9" spans="1:20" ht="15" customHeight="1" x14ac:dyDescent="0.2">
      <c r="B9" s="6" t="s">
        <v>2</v>
      </c>
      <c r="C9" s="99" t="str">
        <f>'Order Form'!C9</f>
        <v>Kitchen</v>
      </c>
      <c r="D9" s="10">
        <f>'Order Form'!D9</f>
        <v>1</v>
      </c>
      <c r="E9" s="10" t="str">
        <f>'Order Form'!E9</f>
        <v>50.8mm</v>
      </c>
      <c r="F9" s="10" t="str">
        <f>'Order Form'!F9</f>
        <v>003 Silk White</v>
      </c>
      <c r="G9" s="10" t="str">
        <f>'Order Form'!G9</f>
        <v>IM</v>
      </c>
      <c r="H9" s="10">
        <f>'Order Form'!H9</f>
        <v>730</v>
      </c>
      <c r="I9" s="10">
        <f>'Order Form'!I9</f>
        <v>970</v>
      </c>
      <c r="J9" s="45">
        <f>'Order Form'!J9</f>
        <v>0.70809999999999995</v>
      </c>
      <c r="K9" s="10" t="str">
        <f>'Order Form'!L9</f>
        <v>Default</v>
      </c>
      <c r="L9" s="10" t="str">
        <f>'Order Form'!O9</f>
        <v>Not Required</v>
      </c>
      <c r="M9" s="10" t="str">
        <f>'Order Form'!K9</f>
        <v>LC</v>
      </c>
      <c r="N9" s="10" t="str">
        <f>'Order Form'!M9</f>
        <v>Default</v>
      </c>
      <c r="O9" s="103" t="str">
        <f>'Order Form'!N9</f>
        <v>Not Required</v>
      </c>
    </row>
    <row r="10" spans="1:20" ht="15" customHeight="1" x14ac:dyDescent="0.2">
      <c r="B10" s="7" t="s">
        <v>3</v>
      </c>
      <c r="C10" s="100" t="str">
        <f>'Order Form'!C10</f>
        <v>Kitchen</v>
      </c>
      <c r="D10" s="11">
        <f>'Order Form'!D10</f>
        <v>1</v>
      </c>
      <c r="E10" s="11" t="str">
        <f>'Order Form'!E10</f>
        <v>50.8mm</v>
      </c>
      <c r="F10" s="11" t="str">
        <f>'Order Form'!F10</f>
        <v>003 Silk White</v>
      </c>
      <c r="G10" s="11" t="str">
        <f>'Order Form'!G10</f>
        <v>IM</v>
      </c>
      <c r="H10" s="11">
        <f>'Order Form'!H10</f>
        <v>940</v>
      </c>
      <c r="I10" s="11">
        <f>'Order Form'!I10</f>
        <v>970</v>
      </c>
      <c r="J10" s="46">
        <f>'Order Form'!J10</f>
        <v>0.91180000000000005</v>
      </c>
      <c r="K10" s="11" t="str">
        <f>'Order Form'!L10</f>
        <v>Default</v>
      </c>
      <c r="L10" s="11" t="str">
        <f>'Order Form'!O10</f>
        <v>Not Required</v>
      </c>
      <c r="M10" s="11" t="str">
        <f>'Order Form'!K10</f>
        <v>LC</v>
      </c>
      <c r="N10" s="11" t="str">
        <f>'Order Form'!M10</f>
        <v>Default</v>
      </c>
      <c r="O10" s="104" t="str">
        <f>'Order Form'!N10</f>
        <v>Not Required</v>
      </c>
    </row>
    <row r="11" spans="1:20" ht="15" customHeight="1" x14ac:dyDescent="0.2">
      <c r="B11" s="8" t="s">
        <v>4</v>
      </c>
      <c r="C11" s="101">
        <f>'Order Form'!C11</f>
        <v>0</v>
      </c>
      <c r="D11" s="12">
        <f>'Order Form'!D11</f>
        <v>0</v>
      </c>
      <c r="E11" s="12">
        <f>'Order Form'!E11</f>
        <v>0</v>
      </c>
      <c r="F11" s="12">
        <f>'Order Form'!F11</f>
        <v>0</v>
      </c>
      <c r="G11" s="12">
        <f>'Order Form'!G11</f>
        <v>0</v>
      </c>
      <c r="H11" s="12">
        <f>'Order Form'!H11</f>
        <v>0</v>
      </c>
      <c r="I11" s="12">
        <f>'Order Form'!I11</f>
        <v>0</v>
      </c>
      <c r="J11" s="47">
        <f>'Order Form'!J11</f>
        <v>0</v>
      </c>
      <c r="K11" s="12">
        <f>'Order Form'!L11</f>
        <v>0</v>
      </c>
      <c r="L11" s="12">
        <f>'Order Form'!O11</f>
        <v>0</v>
      </c>
      <c r="M11" s="12">
        <f>'Order Form'!K11</f>
        <v>0</v>
      </c>
      <c r="N11" s="12">
        <f>'Order Form'!M11</f>
        <v>0</v>
      </c>
      <c r="O11" s="105">
        <f>'Order Form'!N11</f>
        <v>0</v>
      </c>
    </row>
    <row r="12" spans="1:20" s="4" customFormat="1" ht="15" customHeight="1" x14ac:dyDescent="0.2">
      <c r="A12"/>
      <c r="B12" s="7" t="s">
        <v>5</v>
      </c>
      <c r="C12" s="100">
        <f>'Order Form'!C12</f>
        <v>0</v>
      </c>
      <c r="D12" s="11">
        <f>'Order Form'!D12</f>
        <v>0</v>
      </c>
      <c r="E12" s="11">
        <f>'Order Form'!E12</f>
        <v>0</v>
      </c>
      <c r="F12" s="11">
        <f>'Order Form'!F12</f>
        <v>0</v>
      </c>
      <c r="G12" s="11">
        <f>'Order Form'!G12</f>
        <v>0</v>
      </c>
      <c r="H12" s="11">
        <f>'Order Form'!H12</f>
        <v>0</v>
      </c>
      <c r="I12" s="11">
        <f>'Order Form'!I12</f>
        <v>0</v>
      </c>
      <c r="J12" s="46">
        <f>'Order Form'!J12</f>
        <v>0</v>
      </c>
      <c r="K12" s="11">
        <f>'Order Form'!L12</f>
        <v>0</v>
      </c>
      <c r="L12" s="11">
        <f>'Order Form'!O12</f>
        <v>0</v>
      </c>
      <c r="M12" s="11">
        <f>'Order Form'!K12</f>
        <v>0</v>
      </c>
      <c r="N12" s="11">
        <f>'Order Form'!M12</f>
        <v>0</v>
      </c>
      <c r="O12" s="104">
        <f>'Order Form'!N12</f>
        <v>0</v>
      </c>
      <c r="P12"/>
      <c r="Q12"/>
      <c r="R12"/>
      <c r="S12"/>
      <c r="T12"/>
    </row>
    <row r="13" spans="1:20" ht="15" customHeight="1" x14ac:dyDescent="0.2">
      <c r="B13" s="6" t="s">
        <v>6</v>
      </c>
      <c r="C13" s="102">
        <f>'Order Form'!C13</f>
        <v>0</v>
      </c>
      <c r="D13" s="10">
        <f>'Order Form'!D13</f>
        <v>0</v>
      </c>
      <c r="E13" s="10">
        <f>'Order Form'!E13</f>
        <v>0</v>
      </c>
      <c r="F13" s="10">
        <f>'Order Form'!F13</f>
        <v>0</v>
      </c>
      <c r="G13" s="10">
        <f>'Order Form'!G13</f>
        <v>0</v>
      </c>
      <c r="H13" s="10">
        <f>'Order Form'!H13</f>
        <v>0</v>
      </c>
      <c r="I13" s="10">
        <f>'Order Form'!I13</f>
        <v>0</v>
      </c>
      <c r="J13" s="45">
        <f>'Order Form'!J13</f>
        <v>0</v>
      </c>
      <c r="K13" s="10">
        <f>'Order Form'!L13</f>
        <v>0</v>
      </c>
      <c r="L13" s="10">
        <f>'Order Form'!O13</f>
        <v>0</v>
      </c>
      <c r="M13" s="10">
        <f>'Order Form'!K13</f>
        <v>0</v>
      </c>
      <c r="N13" s="10">
        <f>'Order Form'!M13</f>
        <v>0</v>
      </c>
      <c r="O13" s="103">
        <f>'Order Form'!N13</f>
        <v>0</v>
      </c>
    </row>
    <row r="14" spans="1:20" s="4" customFormat="1" ht="15" customHeight="1" x14ac:dyDescent="0.2">
      <c r="A14"/>
      <c r="B14" s="40" t="s">
        <v>109</v>
      </c>
      <c r="C14" s="100">
        <f>'Order Form'!C14</f>
        <v>0</v>
      </c>
      <c r="D14" s="41">
        <f>'Order Form'!D14</f>
        <v>0</v>
      </c>
      <c r="E14" s="41">
        <f>'Order Form'!E14</f>
        <v>0</v>
      </c>
      <c r="F14" s="41">
        <f>'Order Form'!F14</f>
        <v>0</v>
      </c>
      <c r="G14" s="41">
        <f>'Order Form'!G14</f>
        <v>0</v>
      </c>
      <c r="H14" s="41">
        <f>'Order Form'!H14</f>
        <v>0</v>
      </c>
      <c r="I14" s="41">
        <f>'Order Form'!I14</f>
        <v>0</v>
      </c>
      <c r="J14" s="48">
        <f>'Order Form'!J14</f>
        <v>0</v>
      </c>
      <c r="K14" s="41">
        <f>'Order Form'!L14</f>
        <v>0</v>
      </c>
      <c r="L14" s="41">
        <f>'Order Form'!O14</f>
        <v>0</v>
      </c>
      <c r="M14" s="41">
        <f>'Order Form'!K14</f>
        <v>0</v>
      </c>
      <c r="N14" s="41">
        <f>'Order Form'!M14</f>
        <v>0</v>
      </c>
      <c r="O14" s="104">
        <f>'Order Form'!N14</f>
        <v>0</v>
      </c>
      <c r="P14"/>
      <c r="Q14"/>
      <c r="R14"/>
      <c r="S14"/>
      <c r="T14"/>
    </row>
    <row r="15" spans="1:20" ht="15" customHeight="1" x14ac:dyDescent="0.2">
      <c r="B15" s="8" t="s">
        <v>110</v>
      </c>
      <c r="C15" s="101">
        <f>'Order Form'!C15</f>
        <v>0</v>
      </c>
      <c r="D15" s="12">
        <f>'Order Form'!D15</f>
        <v>0</v>
      </c>
      <c r="E15" s="12">
        <f>'Order Form'!E15</f>
        <v>0</v>
      </c>
      <c r="F15" s="12">
        <f>'Order Form'!F15</f>
        <v>0</v>
      </c>
      <c r="G15" s="12">
        <f>'Order Form'!G15</f>
        <v>0</v>
      </c>
      <c r="H15" s="12">
        <f>'Order Form'!H15</f>
        <v>0</v>
      </c>
      <c r="I15" s="12">
        <f>'Order Form'!I15</f>
        <v>0</v>
      </c>
      <c r="J15" s="47">
        <f>'Order Form'!J15</f>
        <v>0</v>
      </c>
      <c r="K15" s="12">
        <f>'Order Form'!L15</f>
        <v>0</v>
      </c>
      <c r="L15" s="12">
        <f>'Order Form'!O15</f>
        <v>0</v>
      </c>
      <c r="M15" s="12">
        <f>'Order Form'!K15</f>
        <v>0</v>
      </c>
      <c r="N15" s="12">
        <f>'Order Form'!M15</f>
        <v>0</v>
      </c>
      <c r="O15" s="105">
        <f>'Order Form'!N15</f>
        <v>0</v>
      </c>
    </row>
    <row r="16" spans="1:20" s="4" customFormat="1" ht="15" customHeight="1" x14ac:dyDescent="0.2">
      <c r="A16"/>
      <c r="B16" s="40" t="s">
        <v>111</v>
      </c>
      <c r="C16" s="100">
        <f>'Order Form'!C16</f>
        <v>0</v>
      </c>
      <c r="D16" s="41">
        <f>'Order Form'!D16</f>
        <v>0</v>
      </c>
      <c r="E16" s="41">
        <f>'Order Form'!E16</f>
        <v>0</v>
      </c>
      <c r="F16" s="41">
        <f>'Order Form'!F16</f>
        <v>0</v>
      </c>
      <c r="G16" s="41">
        <f>'Order Form'!G16</f>
        <v>0</v>
      </c>
      <c r="H16" s="41">
        <f>'Order Form'!H16</f>
        <v>0</v>
      </c>
      <c r="I16" s="41">
        <f>'Order Form'!I16</f>
        <v>0</v>
      </c>
      <c r="J16" s="48">
        <f>'Order Form'!J16</f>
        <v>0</v>
      </c>
      <c r="K16" s="41">
        <f>'Order Form'!L16</f>
        <v>0</v>
      </c>
      <c r="L16" s="41">
        <f>'Order Form'!O16</f>
        <v>0</v>
      </c>
      <c r="M16" s="41">
        <f>'Order Form'!K16</f>
        <v>0</v>
      </c>
      <c r="N16" s="41">
        <f>'Order Form'!M16</f>
        <v>0</v>
      </c>
      <c r="O16" s="104">
        <f>'Order Form'!N16</f>
        <v>0</v>
      </c>
      <c r="P16"/>
      <c r="Q16"/>
      <c r="R16"/>
      <c r="S16"/>
      <c r="T16"/>
    </row>
    <row r="17" spans="1:20" ht="15" customHeight="1" x14ac:dyDescent="0.2">
      <c r="B17" s="6" t="s">
        <v>112</v>
      </c>
      <c r="C17" s="102">
        <f>'Order Form'!C17</f>
        <v>0</v>
      </c>
      <c r="D17" s="10">
        <f>'Order Form'!D17</f>
        <v>0</v>
      </c>
      <c r="E17" s="10">
        <f>'Order Form'!E17</f>
        <v>0</v>
      </c>
      <c r="F17" s="10">
        <f>'Order Form'!F17</f>
        <v>0</v>
      </c>
      <c r="G17" s="10">
        <f>'Order Form'!G17</f>
        <v>0</v>
      </c>
      <c r="H17" s="10">
        <f>'Order Form'!H17</f>
        <v>0</v>
      </c>
      <c r="I17" s="10">
        <f>'Order Form'!I17</f>
        <v>0</v>
      </c>
      <c r="J17" s="45">
        <f>'Order Form'!J17</f>
        <v>0</v>
      </c>
      <c r="K17" s="10">
        <f>'Order Form'!L17</f>
        <v>0</v>
      </c>
      <c r="L17" s="10">
        <f>'Order Form'!O17</f>
        <v>0</v>
      </c>
      <c r="M17" s="10">
        <f>'Order Form'!K17</f>
        <v>0</v>
      </c>
      <c r="N17" s="10">
        <f>'Order Form'!M17</f>
        <v>0</v>
      </c>
      <c r="O17" s="103">
        <f>'Order Form'!N17</f>
        <v>0</v>
      </c>
    </row>
    <row r="18" spans="1:20" s="4" customFormat="1" ht="15" customHeight="1" x14ac:dyDescent="0.2">
      <c r="A18"/>
      <c r="B18" s="40" t="s">
        <v>113</v>
      </c>
      <c r="C18" s="100">
        <f>'Order Form'!C18</f>
        <v>0</v>
      </c>
      <c r="D18" s="41">
        <f>'Order Form'!D18</f>
        <v>0</v>
      </c>
      <c r="E18" s="41">
        <f>'Order Form'!E18</f>
        <v>0</v>
      </c>
      <c r="F18" s="41">
        <f>'Order Form'!F18</f>
        <v>0</v>
      </c>
      <c r="G18" s="41">
        <f>'Order Form'!G18</f>
        <v>0</v>
      </c>
      <c r="H18" s="41">
        <f>'Order Form'!H18</f>
        <v>0</v>
      </c>
      <c r="I18" s="41">
        <f>'Order Form'!I18</f>
        <v>0</v>
      </c>
      <c r="J18" s="48">
        <f>'Order Form'!J18</f>
        <v>0</v>
      </c>
      <c r="K18" s="41">
        <f>'Order Form'!L18</f>
        <v>0</v>
      </c>
      <c r="L18" s="41">
        <f>'Order Form'!O18</f>
        <v>0</v>
      </c>
      <c r="M18" s="41">
        <f>'Order Form'!K18</f>
        <v>0</v>
      </c>
      <c r="N18" s="41">
        <f>'Order Form'!M18</f>
        <v>0</v>
      </c>
      <c r="O18" s="104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66" t="s">
        <v>114</v>
      </c>
      <c r="C19" s="107">
        <f>'Order Form'!C19</f>
        <v>0</v>
      </c>
      <c r="D19" s="67">
        <f>'Order Form'!D19</f>
        <v>0</v>
      </c>
      <c r="E19" s="67">
        <f>'Order Form'!E19</f>
        <v>0</v>
      </c>
      <c r="F19" s="67">
        <f>'Order Form'!F19</f>
        <v>0</v>
      </c>
      <c r="G19" s="67">
        <f>'Order Form'!G19</f>
        <v>0</v>
      </c>
      <c r="H19" s="67">
        <f>'Order Form'!H19</f>
        <v>0</v>
      </c>
      <c r="I19" s="67">
        <f>'Order Form'!I19</f>
        <v>0</v>
      </c>
      <c r="J19" s="49">
        <f>'Order Form'!J19</f>
        <v>0</v>
      </c>
      <c r="K19" s="67">
        <f>'Order Form'!L19</f>
        <v>0</v>
      </c>
      <c r="L19" s="67">
        <f>'Order Form'!O19</f>
        <v>0</v>
      </c>
      <c r="M19" s="67">
        <f>'Order Form'!K19</f>
        <v>0</v>
      </c>
      <c r="N19" s="67">
        <f>'Order Form'!M19</f>
        <v>0</v>
      </c>
      <c r="O19" s="106">
        <f>'Order Form'!N19</f>
        <v>0</v>
      </c>
    </row>
    <row r="20" spans="1:20" s="51" customFormat="1" ht="15" customHeight="1" thickBot="1" x14ac:dyDescent="0.25">
      <c r="C20" s="69" t="s">
        <v>143</v>
      </c>
      <c r="D20" s="70"/>
      <c r="E20" s="70"/>
      <c r="F20" s="71" t="s">
        <v>142</v>
      </c>
      <c r="G20" s="74">
        <f>'Order Form'!G20</f>
        <v>0</v>
      </c>
      <c r="H20" s="72">
        <f>'Order Form'!H20</f>
        <v>0</v>
      </c>
      <c r="I20" s="74">
        <f>'Order Form'!I20</f>
        <v>0</v>
      </c>
      <c r="J20" s="73">
        <f>'Order Form'!J20</f>
        <v>1.6198999999999999</v>
      </c>
      <c r="K20" s="72" t="s">
        <v>138</v>
      </c>
    </row>
    <row r="21" spans="1:20" ht="5.25" customHeight="1" thickBot="1" x14ac:dyDescent="0.25"/>
    <row r="22" spans="1:20" ht="23.25" customHeight="1" x14ac:dyDescent="0.2">
      <c r="A22" s="4"/>
      <c r="B22" s="37" t="s">
        <v>17</v>
      </c>
      <c r="C22" s="38" t="str">
        <f>'Order Form'!C22</f>
        <v>Consolidator Colour</v>
      </c>
      <c r="D22" s="38" t="str">
        <f>'Order Form'!D22</f>
        <v>Valance Returns</v>
      </c>
      <c r="E22" s="38" t="str">
        <f>'Order Form'!E22</f>
        <v>Tilt Cord</v>
      </c>
      <c r="F22" s="38" t="str">
        <f>'Order Form'!F22</f>
        <v>Lift Cords</v>
      </c>
      <c r="G22" s="58" t="s">
        <v>29</v>
      </c>
      <c r="H22" s="38" t="s">
        <v>237</v>
      </c>
      <c r="I22" s="58" t="s">
        <v>28</v>
      </c>
      <c r="J22" s="38" t="s">
        <v>238</v>
      </c>
      <c r="K22" s="108" t="s">
        <v>239</v>
      </c>
      <c r="M22" s="4"/>
      <c r="N22" s="4"/>
      <c r="O22" s="4"/>
      <c r="P22" s="4"/>
      <c r="Q22" s="4"/>
    </row>
    <row r="23" spans="1:20" ht="15" customHeight="1" x14ac:dyDescent="0.2">
      <c r="B23" s="6" t="s">
        <v>2</v>
      </c>
      <c r="C23" s="10" t="str">
        <f>'Order Form'!C23</f>
        <v>Default</v>
      </c>
      <c r="D23" s="10" t="str">
        <f>'Order Form'!D23</f>
        <v>Short - 12.7mm</v>
      </c>
      <c r="E23" s="10" t="str">
        <f>'Order Form'!E23</f>
        <v>Left</v>
      </c>
      <c r="F23" s="10" t="str">
        <f>'Order Form'!F23</f>
        <v>Right</v>
      </c>
      <c r="G23" s="132" t="str">
        <f>'Order Form'!G23</f>
        <v>63.5mm Ramp</v>
      </c>
      <c r="H23" s="132" t="str">
        <f>'Order Form'!H23</f>
        <v>Standard</v>
      </c>
      <c r="I23" s="59" t="str">
        <f>'Order Form'!I23</f>
        <v>Pear</v>
      </c>
      <c r="J23" s="10" t="str">
        <f>'Order Form'!J23</f>
        <v>No</v>
      </c>
      <c r="K23" s="103">
        <f>'Order Form'!K23</f>
        <v>1</v>
      </c>
    </row>
    <row r="24" spans="1:20" ht="15" customHeight="1" x14ac:dyDescent="0.2">
      <c r="B24" s="7" t="s">
        <v>3</v>
      </c>
      <c r="C24" s="11" t="str">
        <f>'Order Form'!C24</f>
        <v>Default</v>
      </c>
      <c r="D24" s="11" t="str">
        <f>'Order Form'!D24</f>
        <v>Short - 12.7mm</v>
      </c>
      <c r="E24" s="11" t="str">
        <f>'Order Form'!E24</f>
        <v>Left</v>
      </c>
      <c r="F24" s="11" t="str">
        <f>'Order Form'!F24</f>
        <v>Right</v>
      </c>
      <c r="G24" s="133" t="str">
        <f>'Order Form'!G24</f>
        <v>63.5mm Ramp</v>
      </c>
      <c r="H24" s="133" t="str">
        <f>'Order Form'!H24</f>
        <v>Standard</v>
      </c>
      <c r="I24" s="60" t="str">
        <f>'Order Form'!I24</f>
        <v>Pear</v>
      </c>
      <c r="J24" s="11" t="str">
        <f>'Order Form'!J24</f>
        <v>No</v>
      </c>
      <c r="K24" s="104">
        <f>'Order Form'!K24</f>
        <v>1</v>
      </c>
    </row>
    <row r="25" spans="1:20" ht="15" customHeight="1" x14ac:dyDescent="0.2">
      <c r="B25" s="8" t="s">
        <v>4</v>
      </c>
      <c r="C25" s="12">
        <f>'Order Form'!C25</f>
        <v>0</v>
      </c>
      <c r="D25" s="12">
        <f>'Order Form'!D25</f>
        <v>0</v>
      </c>
      <c r="E25" s="12">
        <f>'Order Form'!E25</f>
        <v>0</v>
      </c>
      <c r="F25" s="12">
        <f>'Order Form'!F25</f>
        <v>0</v>
      </c>
      <c r="G25" s="134">
        <f>'Order Form'!G25</f>
        <v>0</v>
      </c>
      <c r="H25" s="134">
        <f>'Order Form'!H25</f>
        <v>0</v>
      </c>
      <c r="I25" s="61">
        <f>'Order Form'!I25</f>
        <v>0</v>
      </c>
      <c r="J25" s="12">
        <f>'Order Form'!J25</f>
        <v>0</v>
      </c>
      <c r="K25" s="105">
        <f>'Order Form'!K25</f>
        <v>0</v>
      </c>
    </row>
    <row r="26" spans="1:20" ht="15" customHeight="1" x14ac:dyDescent="0.2">
      <c r="B26" s="7" t="s">
        <v>5</v>
      </c>
      <c r="C26" s="11">
        <f>'Order Form'!C26</f>
        <v>0</v>
      </c>
      <c r="D26" s="11">
        <f>'Order Form'!D26</f>
        <v>0</v>
      </c>
      <c r="E26" s="11">
        <f>'Order Form'!E26</f>
        <v>0</v>
      </c>
      <c r="F26" s="11">
        <f>'Order Form'!F26</f>
        <v>0</v>
      </c>
      <c r="G26" s="133">
        <f>'Order Form'!G26</f>
        <v>0</v>
      </c>
      <c r="H26" s="133">
        <f>'Order Form'!H26</f>
        <v>0</v>
      </c>
      <c r="I26" s="60">
        <f>'Order Form'!I26</f>
        <v>0</v>
      </c>
      <c r="J26" s="11">
        <f>'Order Form'!J26</f>
        <v>0</v>
      </c>
      <c r="K26" s="104">
        <f>'Order Form'!K26</f>
        <v>0</v>
      </c>
    </row>
    <row r="27" spans="1:20" ht="15" customHeight="1" x14ac:dyDescent="0.2">
      <c r="B27" s="6" t="s">
        <v>6</v>
      </c>
      <c r="C27" s="10">
        <f>'Order Form'!C27</f>
        <v>0</v>
      </c>
      <c r="D27" s="10">
        <f>'Order Form'!D27</f>
        <v>0</v>
      </c>
      <c r="E27" s="10">
        <f>'Order Form'!E27</f>
        <v>0</v>
      </c>
      <c r="F27" s="10">
        <f>'Order Form'!F27</f>
        <v>0</v>
      </c>
      <c r="G27" s="132">
        <f>'Order Form'!G27</f>
        <v>0</v>
      </c>
      <c r="H27" s="132">
        <f>'Order Form'!H27</f>
        <v>0</v>
      </c>
      <c r="I27" s="59">
        <f>'Order Form'!I27</f>
        <v>0</v>
      </c>
      <c r="J27" s="10">
        <f>'Order Form'!J27</f>
        <v>0</v>
      </c>
      <c r="K27" s="103">
        <f>'Order Form'!K27</f>
        <v>0</v>
      </c>
    </row>
    <row r="28" spans="1:20" ht="15" customHeight="1" x14ac:dyDescent="0.2">
      <c r="B28" s="40" t="s">
        <v>109</v>
      </c>
      <c r="C28" s="41">
        <f>'Order Form'!C28</f>
        <v>0</v>
      </c>
      <c r="D28" s="41">
        <f>'Order Form'!D28</f>
        <v>0</v>
      </c>
      <c r="E28" s="41">
        <f>'Order Form'!E28</f>
        <v>0</v>
      </c>
      <c r="F28" s="41">
        <f>'Order Form'!F28</f>
        <v>0</v>
      </c>
      <c r="G28" s="133">
        <f>'Order Form'!G28</f>
        <v>0</v>
      </c>
      <c r="H28" s="133">
        <f>'Order Form'!H28</f>
        <v>0</v>
      </c>
      <c r="I28" s="60">
        <f>'Order Form'!I28</f>
        <v>0</v>
      </c>
      <c r="J28" s="41">
        <f>'Order Form'!J28</f>
        <v>0</v>
      </c>
      <c r="K28" s="104">
        <f>'Order Form'!K28</f>
        <v>0</v>
      </c>
    </row>
    <row r="29" spans="1:20" ht="15" customHeight="1" x14ac:dyDescent="0.2">
      <c r="B29" s="8" t="s">
        <v>110</v>
      </c>
      <c r="C29" s="12">
        <f>'Order Form'!C29</f>
        <v>0</v>
      </c>
      <c r="D29" s="12">
        <f>'Order Form'!D29</f>
        <v>0</v>
      </c>
      <c r="E29" s="12">
        <f>'Order Form'!E29</f>
        <v>0</v>
      </c>
      <c r="F29" s="12">
        <f>'Order Form'!F29</f>
        <v>0</v>
      </c>
      <c r="G29" s="134">
        <f>'Order Form'!G29</f>
        <v>0</v>
      </c>
      <c r="H29" s="134">
        <f>'Order Form'!H29</f>
        <v>0</v>
      </c>
      <c r="I29" s="61">
        <f>'Order Form'!I29</f>
        <v>0</v>
      </c>
      <c r="J29" s="12">
        <f>'Order Form'!J29</f>
        <v>0</v>
      </c>
      <c r="K29" s="105">
        <f>'Order Form'!K29</f>
        <v>0</v>
      </c>
    </row>
    <row r="30" spans="1:20" ht="15" customHeight="1" x14ac:dyDescent="0.2">
      <c r="B30" s="40" t="s">
        <v>111</v>
      </c>
      <c r="C30" s="41">
        <f>'Order Form'!C30</f>
        <v>0</v>
      </c>
      <c r="D30" s="41">
        <f>'Order Form'!D30</f>
        <v>0</v>
      </c>
      <c r="E30" s="41">
        <f>'Order Form'!E30</f>
        <v>0</v>
      </c>
      <c r="F30" s="41">
        <f>'Order Form'!F30</f>
        <v>0</v>
      </c>
      <c r="G30" s="133">
        <f>'Order Form'!G30</f>
        <v>0</v>
      </c>
      <c r="H30" s="133">
        <f>'Order Form'!H30</f>
        <v>0</v>
      </c>
      <c r="I30" s="60">
        <f>'Order Form'!I30</f>
        <v>0</v>
      </c>
      <c r="J30" s="41">
        <f>'Order Form'!J30</f>
        <v>0</v>
      </c>
      <c r="K30" s="104">
        <f>'Order Form'!K30</f>
        <v>0</v>
      </c>
    </row>
    <row r="31" spans="1:20" ht="15" customHeight="1" x14ac:dyDescent="0.2">
      <c r="B31" s="6" t="s">
        <v>112</v>
      </c>
      <c r="C31" s="10">
        <f>'Order Form'!C31</f>
        <v>0</v>
      </c>
      <c r="D31" s="10">
        <f>'Order Form'!D31</f>
        <v>0</v>
      </c>
      <c r="E31" s="10">
        <f>'Order Form'!E31</f>
        <v>0</v>
      </c>
      <c r="F31" s="10">
        <f>'Order Form'!F31</f>
        <v>0</v>
      </c>
      <c r="G31" s="132">
        <f>'Order Form'!G31</f>
        <v>0</v>
      </c>
      <c r="H31" s="132">
        <f>'Order Form'!H31</f>
        <v>0</v>
      </c>
      <c r="I31" s="59">
        <f>'Order Form'!I31</f>
        <v>0</v>
      </c>
      <c r="J31" s="10">
        <f>'Order Form'!J31</f>
        <v>0</v>
      </c>
      <c r="K31" s="103">
        <f>'Order Form'!K31</f>
        <v>0</v>
      </c>
    </row>
    <row r="32" spans="1:20" ht="15" customHeight="1" x14ac:dyDescent="0.2">
      <c r="B32" s="40" t="s">
        <v>113</v>
      </c>
      <c r="C32" s="41">
        <f>'Order Form'!C32</f>
        <v>0</v>
      </c>
      <c r="D32" s="41">
        <f>'Order Form'!D32</f>
        <v>0</v>
      </c>
      <c r="E32" s="41">
        <f>'Order Form'!E32</f>
        <v>0</v>
      </c>
      <c r="F32" s="41">
        <f>'Order Form'!F32</f>
        <v>0</v>
      </c>
      <c r="G32" s="133">
        <f>'Order Form'!G32</f>
        <v>0</v>
      </c>
      <c r="H32" s="133">
        <f>'Order Form'!H32</f>
        <v>0</v>
      </c>
      <c r="I32" s="60">
        <f>'Order Form'!I32</f>
        <v>0</v>
      </c>
      <c r="J32" s="41">
        <f>'Order Form'!J32</f>
        <v>0</v>
      </c>
      <c r="K32" s="104">
        <f>'Order Form'!K32</f>
        <v>0</v>
      </c>
    </row>
    <row r="33" spans="2:12" ht="15" customHeight="1" thickBot="1" x14ac:dyDescent="0.25">
      <c r="B33" s="66" t="s">
        <v>114</v>
      </c>
      <c r="C33" s="67">
        <f>'Order Form'!C33</f>
        <v>0</v>
      </c>
      <c r="D33" s="67">
        <f>'Order Form'!D33</f>
        <v>0</v>
      </c>
      <c r="E33" s="67">
        <f>'Order Form'!E33</f>
        <v>0</v>
      </c>
      <c r="F33" s="67">
        <f>'Order Form'!F33</f>
        <v>0</v>
      </c>
      <c r="G33" s="135">
        <f>'Order Form'!G33</f>
        <v>0</v>
      </c>
      <c r="H33" s="135">
        <f>'Order Form'!H33</f>
        <v>0</v>
      </c>
      <c r="I33" s="68">
        <f>'Order Form'!I33</f>
        <v>0</v>
      </c>
      <c r="J33" s="67">
        <f>'Order Form'!J33</f>
        <v>0</v>
      </c>
      <c r="K33" s="106">
        <f>'Order Form'!K33</f>
        <v>0</v>
      </c>
    </row>
    <row r="34" spans="2:12" ht="4.5" customHeight="1" thickBot="1" x14ac:dyDescent="0.25"/>
    <row r="35" spans="2:12" ht="13.5" customHeight="1" x14ac:dyDescent="0.2">
      <c r="B35" s="230" t="s">
        <v>66</v>
      </c>
      <c r="C35" s="231"/>
      <c r="D35" s="231"/>
      <c r="E35" s="231"/>
      <c r="F35" s="231"/>
      <c r="G35" s="231"/>
      <c r="H35" s="231"/>
      <c r="I35" s="231" t="str">
        <f>IF(DeliverAddress="Alternative","Alternative Address","")</f>
        <v/>
      </c>
      <c r="J35" s="232"/>
      <c r="K35" t="str">
        <f>IF(K36&lt;&gt;" ","Extras","")</f>
        <v/>
      </c>
    </row>
    <row r="36" spans="2:12" x14ac:dyDescent="0.2">
      <c r="B36" s="219"/>
      <c r="C36" s="220"/>
      <c r="D36" s="220"/>
      <c r="E36" s="220"/>
      <c r="F36" s="220"/>
      <c r="G36" s="220"/>
      <c r="H36" s="220"/>
      <c r="I36" s="225"/>
      <c r="J36" s="226"/>
      <c r="K36" s="229" t="str">
        <f>'Price Calculations'!Z59</f>
        <v xml:space="preserve"> </v>
      </c>
      <c r="L36" s="53"/>
    </row>
    <row r="37" spans="2:12" x14ac:dyDescent="0.2">
      <c r="B37" s="221"/>
      <c r="C37" s="222"/>
      <c r="D37" s="222"/>
      <c r="E37" s="222"/>
      <c r="F37" s="222"/>
      <c r="G37" s="222"/>
      <c r="H37" s="222"/>
      <c r="I37" s="222"/>
      <c r="J37" s="227"/>
      <c r="K37" s="229"/>
      <c r="L37" s="53"/>
    </row>
    <row r="38" spans="2:12" x14ac:dyDescent="0.2">
      <c r="B38" s="221"/>
      <c r="C38" s="222"/>
      <c r="D38" s="222"/>
      <c r="E38" s="222"/>
      <c r="F38" s="222"/>
      <c r="G38" s="222"/>
      <c r="H38" s="222"/>
      <c r="I38" s="222"/>
      <c r="J38" s="227"/>
      <c r="K38" s="229"/>
    </row>
    <row r="39" spans="2:12" x14ac:dyDescent="0.2">
      <c r="B39" s="221"/>
      <c r="C39" s="222"/>
      <c r="D39" s="222"/>
      <c r="E39" s="222"/>
      <c r="F39" s="222"/>
      <c r="G39" s="222"/>
      <c r="H39" s="222"/>
      <c r="I39" s="222"/>
      <c r="J39" s="227"/>
      <c r="K39" s="229"/>
    </row>
    <row r="40" spans="2:12" ht="13.5" thickBot="1" x14ac:dyDescent="0.25">
      <c r="B40" s="223"/>
      <c r="C40" s="224"/>
      <c r="D40" s="224"/>
      <c r="E40" s="224"/>
      <c r="F40" s="224"/>
      <c r="G40" s="224"/>
      <c r="H40" s="224"/>
      <c r="I40" s="224"/>
      <c r="J40" s="228"/>
      <c r="K40" s="229"/>
    </row>
    <row r="41" spans="2:12" x14ac:dyDescent="0.2"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2:12" x14ac:dyDescent="0.2">
      <c r="C42" s="57"/>
    </row>
    <row r="43" spans="2:12" x14ac:dyDescent="0.2">
      <c r="C43" s="57"/>
    </row>
  </sheetData>
  <sheetProtection algorithmName="SHA-512" hashValue="Ko4JS+OpU3cBhLW9xoZA1vxOlqvfXdRmeaQ9mGFNBgbsrJ+goXxxPJe077puBeTzJINHn+K42xVOepb+IZgCfQ==" saltValue="UbkmV/Zq9R2kLqXaIHMLfA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75" customWidth="1"/>
    <col min="2" max="2" width="11.5703125" style="75" customWidth="1"/>
    <col min="3" max="3" width="9.140625" style="75"/>
    <col min="4" max="4" width="3.42578125" style="75" customWidth="1"/>
    <col min="5" max="5" width="12.7109375" style="75" customWidth="1"/>
    <col min="6" max="6" width="16" style="75" customWidth="1"/>
    <col min="7" max="7" width="9.5703125" style="75" customWidth="1"/>
    <col min="8" max="8" width="9.140625" style="75"/>
    <col min="9" max="9" width="9.140625" style="75" customWidth="1"/>
    <col min="10" max="18" width="9.140625" style="75" hidden="1" customWidth="1"/>
    <col min="19" max="16384" width="9.140625" style="75"/>
  </cols>
  <sheetData>
    <row r="1" spans="1:8" ht="15.75" x14ac:dyDescent="0.25">
      <c r="F1" s="76" t="s">
        <v>159</v>
      </c>
    </row>
    <row r="2" spans="1:8" ht="10.5" customHeight="1" thickBot="1" x14ac:dyDescent="0.25"/>
    <row r="3" spans="1:8" ht="13.5" thickBot="1" x14ac:dyDescent="0.25">
      <c r="A3" s="77" t="s">
        <v>104</v>
      </c>
      <c r="B3" s="233" t="str">
        <f>Dealer_Name</f>
        <v>CP Interiors</v>
      </c>
      <c r="C3" s="234"/>
      <c r="D3" s="234"/>
      <c r="E3" s="234"/>
      <c r="F3" s="234"/>
      <c r="G3" s="234"/>
      <c r="H3" s="235"/>
    </row>
    <row r="4" spans="1:8" ht="13.5" thickBot="1" x14ac:dyDescent="0.25">
      <c r="A4" s="77"/>
      <c r="B4" s="79"/>
      <c r="C4" s="79"/>
      <c r="D4" s="79"/>
      <c r="E4" s="79"/>
      <c r="F4" s="79"/>
      <c r="G4" s="78"/>
      <c r="H4" s="78"/>
    </row>
    <row r="5" spans="1:8" s="80" customFormat="1" ht="18" hidden="1" customHeight="1" thickBot="1" x14ac:dyDescent="0.25">
      <c r="E5" s="77" t="s">
        <v>160</v>
      </c>
      <c r="G5" s="238"/>
      <c r="H5" s="239"/>
    </row>
    <row r="6" spans="1:8" ht="17.25" customHeight="1" thickBot="1" x14ac:dyDescent="0.25"/>
    <row r="7" spans="1:8" ht="18" customHeight="1" thickBot="1" x14ac:dyDescent="0.25">
      <c r="E7" s="77" t="s">
        <v>161</v>
      </c>
      <c r="G7" s="238" t="str">
        <f>SC_ACno</f>
        <v>CPSUN</v>
      </c>
      <c r="H7" s="239"/>
    </row>
    <row r="8" spans="1:8" ht="13.5" thickBot="1" x14ac:dyDescent="0.25"/>
    <row r="9" spans="1:8" s="80" customFormat="1" ht="18" customHeight="1" thickBot="1" x14ac:dyDescent="0.25">
      <c r="E9" s="77" t="s">
        <v>162</v>
      </c>
      <c r="G9" s="238"/>
      <c r="H9" s="239"/>
    </row>
    <row r="10" spans="1:8" s="80" customFormat="1" ht="13.5" thickBot="1" x14ac:dyDescent="0.25">
      <c r="A10" s="77"/>
      <c r="F10" s="77"/>
    </row>
    <row r="11" spans="1:8" ht="17.25" customHeight="1" thickBot="1" x14ac:dyDescent="0.25">
      <c r="E11" s="77" t="s">
        <v>163</v>
      </c>
      <c r="G11" s="238">
        <f>SC_Order_No</f>
        <v>0</v>
      </c>
      <c r="H11" s="239"/>
    </row>
    <row r="12" spans="1:8" ht="13.5" thickBot="1" x14ac:dyDescent="0.25"/>
    <row r="13" spans="1:8" ht="17.25" customHeight="1" thickBot="1" x14ac:dyDescent="0.25">
      <c r="E13" s="77" t="s">
        <v>164</v>
      </c>
      <c r="G13" s="238" t="str">
        <f>Customer_Name</f>
        <v xml:space="preserve"> Launder</v>
      </c>
      <c r="H13" s="239"/>
    </row>
    <row r="14" spans="1:8" ht="13.5" thickBot="1" x14ac:dyDescent="0.25"/>
    <row r="15" spans="1:8" s="80" customFormat="1" ht="18" customHeight="1" thickBot="1" x14ac:dyDescent="0.25">
      <c r="E15" s="77" t="s">
        <v>165</v>
      </c>
      <c r="G15" s="238" t="str">
        <f>Dealer_Order_No</f>
        <v>So8618</v>
      </c>
      <c r="H15" s="239"/>
    </row>
    <row r="16" spans="1:8" s="80" customFormat="1" x14ac:dyDescent="0.2">
      <c r="A16" s="77"/>
      <c r="F16" s="77"/>
    </row>
    <row r="17" spans="1:17" x14ac:dyDescent="0.2">
      <c r="E17" s="81" t="s">
        <v>166</v>
      </c>
    </row>
    <row r="19" spans="1:17" x14ac:dyDescent="0.2">
      <c r="A19" s="82" t="s">
        <v>167</v>
      </c>
      <c r="B19" s="248" t="s">
        <v>168</v>
      </c>
      <c r="C19" s="248"/>
      <c r="D19" s="248"/>
      <c r="E19" s="248"/>
      <c r="F19" s="248" t="s">
        <v>169</v>
      </c>
      <c r="G19" s="248"/>
      <c r="H19" s="248"/>
      <c r="J19" s="82" t="s">
        <v>170</v>
      </c>
      <c r="K19" s="83"/>
      <c r="L19" s="83"/>
      <c r="M19" s="83"/>
      <c r="N19" s="83"/>
    </row>
    <row r="20" spans="1:17" ht="45" customHeight="1" x14ac:dyDescent="0.2">
      <c r="A20" s="84"/>
      <c r="B20" s="246"/>
      <c r="C20" s="246"/>
      <c r="D20" s="246"/>
      <c r="E20" s="246"/>
      <c r="F20" s="247"/>
      <c r="G20" s="247"/>
      <c r="H20" s="247"/>
      <c r="J20" s="252"/>
      <c r="K20" s="252"/>
      <c r="L20" s="252"/>
      <c r="M20" s="252"/>
      <c r="N20" s="252"/>
    </row>
    <row r="21" spans="1:17" ht="45" customHeight="1" x14ac:dyDescent="0.2">
      <c r="A21" s="84"/>
      <c r="B21" s="246"/>
      <c r="C21" s="246"/>
      <c r="D21" s="246"/>
      <c r="E21" s="246"/>
      <c r="F21" s="247"/>
      <c r="G21" s="247"/>
      <c r="H21" s="247"/>
      <c r="J21" s="252"/>
      <c r="K21" s="252"/>
      <c r="L21" s="252"/>
      <c r="M21" s="252"/>
      <c r="N21" s="252"/>
    </row>
    <row r="22" spans="1:17" ht="45" customHeight="1" x14ac:dyDescent="0.2">
      <c r="A22" s="84"/>
      <c r="B22" s="247"/>
      <c r="C22" s="247"/>
      <c r="D22" s="247"/>
      <c r="E22" s="247"/>
      <c r="F22" s="247"/>
      <c r="G22" s="247"/>
      <c r="H22" s="247"/>
      <c r="J22" s="252"/>
      <c r="K22" s="252"/>
      <c r="L22" s="252"/>
      <c r="M22" s="252"/>
      <c r="N22" s="252"/>
    </row>
    <row r="23" spans="1:17" ht="45" customHeight="1" x14ac:dyDescent="0.2">
      <c r="A23" s="84"/>
      <c r="B23" s="247"/>
      <c r="C23" s="247"/>
      <c r="D23" s="247"/>
      <c r="E23" s="247"/>
      <c r="F23" s="247"/>
      <c r="G23" s="247"/>
      <c r="H23" s="247"/>
      <c r="J23" s="252"/>
      <c r="K23" s="252"/>
      <c r="L23" s="252"/>
      <c r="M23" s="252"/>
      <c r="N23" s="252"/>
    </row>
    <row r="24" spans="1:17" ht="45" customHeight="1" x14ac:dyDescent="0.2">
      <c r="A24" s="84"/>
      <c r="B24" s="247"/>
      <c r="C24" s="247"/>
      <c r="D24" s="247"/>
      <c r="E24" s="247"/>
      <c r="F24" s="247"/>
      <c r="G24" s="247"/>
      <c r="H24" s="247"/>
      <c r="J24" s="252"/>
      <c r="K24" s="252"/>
      <c r="L24" s="252"/>
      <c r="M24" s="252"/>
      <c r="N24" s="252"/>
    </row>
    <row r="25" spans="1:17" ht="45" customHeight="1" x14ac:dyDescent="0.2">
      <c r="A25" s="84"/>
      <c r="B25" s="247"/>
      <c r="C25" s="247"/>
      <c r="D25" s="247"/>
      <c r="E25" s="247"/>
      <c r="F25" s="247"/>
      <c r="G25" s="247"/>
      <c r="H25" s="247"/>
      <c r="J25" s="252"/>
      <c r="K25" s="252"/>
      <c r="L25" s="252"/>
      <c r="M25" s="252"/>
      <c r="N25" s="252"/>
    </row>
    <row r="26" spans="1:17" ht="45" customHeight="1" x14ac:dyDescent="0.2">
      <c r="A26" s="84"/>
      <c r="B26" s="247"/>
      <c r="C26" s="247"/>
      <c r="D26" s="247"/>
      <c r="E26" s="247"/>
      <c r="F26" s="247"/>
      <c r="G26" s="247"/>
      <c r="H26" s="247"/>
      <c r="J26" s="252"/>
      <c r="K26" s="252"/>
      <c r="L26" s="252"/>
      <c r="M26" s="252"/>
      <c r="N26" s="252"/>
    </row>
    <row r="27" spans="1:17" ht="45" customHeight="1" x14ac:dyDescent="0.2">
      <c r="A27" s="84"/>
      <c r="B27" s="247"/>
      <c r="C27" s="247"/>
      <c r="D27" s="247"/>
      <c r="E27" s="247"/>
      <c r="F27" s="247"/>
      <c r="G27" s="247"/>
      <c r="H27" s="247"/>
      <c r="J27" s="252"/>
      <c r="K27" s="252"/>
      <c r="L27" s="252"/>
      <c r="M27" s="252"/>
      <c r="N27" s="252"/>
    </row>
    <row r="28" spans="1:17" x14ac:dyDescent="0.2">
      <c r="A28" s="85"/>
      <c r="B28" s="85"/>
      <c r="C28" s="85"/>
      <c r="D28" s="85"/>
      <c r="E28" s="85"/>
      <c r="F28" s="85"/>
      <c r="G28" s="85"/>
      <c r="H28" s="85"/>
      <c r="I28" s="253" t="s">
        <v>171</v>
      </c>
      <c r="J28" s="254"/>
      <c r="K28" s="255"/>
      <c r="L28" s="255"/>
      <c r="M28" s="255"/>
      <c r="N28" s="255"/>
      <c r="O28" s="255"/>
      <c r="P28" s="255"/>
      <c r="Q28" s="255"/>
    </row>
    <row r="29" spans="1:17" x14ac:dyDescent="0.2">
      <c r="A29" s="75" t="s">
        <v>172</v>
      </c>
      <c r="B29" s="86"/>
      <c r="C29" s="75" t="s">
        <v>173</v>
      </c>
      <c r="I29" s="253"/>
      <c r="J29" s="254"/>
      <c r="K29" s="255"/>
      <c r="L29" s="255"/>
      <c r="M29" s="255"/>
      <c r="N29" s="255"/>
      <c r="O29" s="255"/>
      <c r="P29" s="255"/>
      <c r="Q29" s="255"/>
    </row>
    <row r="30" spans="1:17" x14ac:dyDescent="0.2">
      <c r="J30" s="254"/>
      <c r="K30" s="255"/>
      <c r="L30" s="255"/>
      <c r="M30" s="255"/>
      <c r="N30" s="255"/>
      <c r="O30" s="255"/>
      <c r="P30" s="255"/>
      <c r="Q30" s="255"/>
    </row>
    <row r="31" spans="1:17" x14ac:dyDescent="0.2">
      <c r="E31" s="87" t="s">
        <v>174</v>
      </c>
      <c r="J31" s="254"/>
      <c r="K31" s="255"/>
      <c r="L31" s="255"/>
      <c r="M31" s="255"/>
      <c r="N31" s="255"/>
      <c r="O31" s="255"/>
      <c r="P31" s="255"/>
      <c r="Q31" s="255"/>
    </row>
    <row r="32" spans="1:17" x14ac:dyDescent="0.2">
      <c r="E32" s="87" t="s">
        <v>175</v>
      </c>
      <c r="J32" s="254"/>
      <c r="K32" s="255"/>
      <c r="L32" s="255"/>
      <c r="M32" s="255"/>
      <c r="N32" s="255"/>
      <c r="O32" s="255"/>
      <c r="P32" s="255"/>
      <c r="Q32" s="255"/>
    </row>
    <row r="33" spans="1:8" ht="13.5" thickBot="1" x14ac:dyDescent="0.25">
      <c r="F33" s="77"/>
    </row>
    <row r="34" spans="1:8" ht="18" customHeight="1" thickBot="1" x14ac:dyDescent="0.25">
      <c r="A34" s="240" t="s">
        <v>176</v>
      </c>
      <c r="B34" s="241"/>
      <c r="C34" s="242"/>
      <c r="F34" s="88" t="s">
        <v>177</v>
      </c>
      <c r="G34" s="236"/>
      <c r="H34" s="237"/>
    </row>
    <row r="35" spans="1:8" ht="13.5" thickBot="1" x14ac:dyDescent="0.25">
      <c r="A35" s="89"/>
      <c r="C35" s="90"/>
      <c r="F35" s="91"/>
    </row>
    <row r="36" spans="1:8" ht="18" customHeight="1" thickBot="1" x14ac:dyDescent="0.25">
      <c r="A36" s="243"/>
      <c r="B36" s="244"/>
      <c r="C36" s="245"/>
      <c r="F36" s="88" t="s">
        <v>178</v>
      </c>
      <c r="G36" s="236"/>
      <c r="H36" s="237"/>
    </row>
    <row r="37" spans="1:8" ht="13.5" thickBot="1" x14ac:dyDescent="0.25">
      <c r="A37" s="243" t="s">
        <v>179</v>
      </c>
      <c r="B37" s="244"/>
      <c r="C37" s="245"/>
      <c r="F37" s="88"/>
    </row>
    <row r="38" spans="1:8" ht="18" customHeight="1" thickBot="1" x14ac:dyDescent="0.25">
      <c r="A38" s="243" t="str">
        <f>IF(A36="Covered","Subject to factory approval.","")</f>
        <v/>
      </c>
      <c r="B38" s="244"/>
      <c r="C38" s="245"/>
      <c r="F38" s="88" t="s">
        <v>180</v>
      </c>
      <c r="G38" s="236"/>
      <c r="H38" s="237"/>
    </row>
    <row r="39" spans="1:8" ht="13.5" thickBot="1" x14ac:dyDescent="0.25">
      <c r="A39" s="249" t="str">
        <f>IF(A36="Covered","Scraft will contact you if approval is not given","")</f>
        <v/>
      </c>
      <c r="B39" s="250"/>
      <c r="C39" s="251"/>
      <c r="F39" s="88"/>
    </row>
    <row r="40" spans="1:8" ht="18" customHeight="1" thickBot="1" x14ac:dyDescent="0.25">
      <c r="F40" s="88" t="s">
        <v>9</v>
      </c>
      <c r="G40" s="236"/>
      <c r="H40" s="237"/>
    </row>
    <row r="41" spans="1:8" ht="13.5" thickBot="1" x14ac:dyDescent="0.25">
      <c r="F41" s="88"/>
    </row>
    <row r="42" spans="1:8" ht="18" customHeight="1" thickBot="1" x14ac:dyDescent="0.25">
      <c r="F42" s="88" t="s">
        <v>181</v>
      </c>
      <c r="G42" s="236"/>
      <c r="H42" s="237"/>
    </row>
    <row r="43" spans="1:8" ht="13.5" thickBot="1" x14ac:dyDescent="0.25"/>
    <row r="44" spans="1:8" x14ac:dyDescent="0.2">
      <c r="A44" s="92"/>
      <c r="B44" s="93"/>
      <c r="C44" s="93"/>
      <c r="D44" s="93"/>
      <c r="E44" s="93"/>
      <c r="F44" s="93"/>
      <c r="G44" s="93"/>
      <c r="H44" s="94"/>
    </row>
    <row r="45" spans="1:8" x14ac:dyDescent="0.2">
      <c r="A45" s="89"/>
      <c r="B45" s="75" t="s">
        <v>182</v>
      </c>
      <c r="H45" s="90"/>
    </row>
    <row r="46" spans="1:8" x14ac:dyDescent="0.2">
      <c r="A46" s="89"/>
      <c r="B46" s="75" t="s">
        <v>183</v>
      </c>
      <c r="D46" s="75">
        <f>G34</f>
        <v>0</v>
      </c>
      <c r="H46" s="90"/>
    </row>
    <row r="47" spans="1:8" ht="13.5" hidden="1" thickBot="1" x14ac:dyDescent="0.25">
      <c r="A47" s="95"/>
      <c r="B47" s="96"/>
      <c r="C47" s="96"/>
      <c r="D47" s="96"/>
      <c r="E47" s="96"/>
      <c r="F47" s="96"/>
      <c r="G47" s="96"/>
      <c r="H47" s="97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5nw2qqTBa6dlXvvIhaF5zATmVWHAyEBC1sgQidwmzZr4+nbGR3iroHLPqrC9dlnm+Qeq1G4ioq5cVHZtdwJu4w==" saltValue="k3p6ecw63gMjISdLNXf1iQ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18" t="s">
        <v>83</v>
      </c>
      <c r="B1" s="55">
        <f>IF(AND(Discount&gt;33%,WoodType="Vogue"),32.5%,Discount)</f>
        <v>0.3</v>
      </c>
      <c r="D1" s="14" t="s">
        <v>85</v>
      </c>
      <c r="F1" t="s">
        <v>84</v>
      </c>
    </row>
    <row r="2" spans="1:52" x14ac:dyDescent="0.2">
      <c r="A2" t="s">
        <v>99</v>
      </c>
      <c r="B2" t="str">
        <f>WoodType</f>
        <v>PureWood Blinds</v>
      </c>
      <c r="D2" t="s">
        <v>133</v>
      </c>
    </row>
    <row r="3" spans="1:52" x14ac:dyDescent="0.2">
      <c r="A3" s="18" t="s">
        <v>119</v>
      </c>
      <c r="B3" s="43">
        <v>9.99</v>
      </c>
    </row>
    <row r="4" spans="1:52" x14ac:dyDescent="0.2">
      <c r="A4" t="s">
        <v>123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149</v>
      </c>
    </row>
    <row r="6" spans="1:52" x14ac:dyDescent="0.2">
      <c r="A6" s="3" t="s">
        <v>60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202</v>
      </c>
      <c r="R7" s="136" t="s">
        <v>276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Kitchen</v>
      </c>
      <c r="C8">
        <f>'Order Form'!D9</f>
        <v>1</v>
      </c>
      <c r="D8" t="str">
        <f>'Order Form'!F9</f>
        <v>003 Silk White</v>
      </c>
      <c r="E8" t="str">
        <f>'Order Form'!G9</f>
        <v>IM</v>
      </c>
      <c r="F8">
        <f>'Order Form'!H9</f>
        <v>730</v>
      </c>
      <c r="G8">
        <f>'Order Form'!I9</f>
        <v>970</v>
      </c>
      <c r="H8">
        <f>((F8*G8)/(1000*1000))*C8</f>
        <v>0.70809999999999995</v>
      </c>
      <c r="I8" t="str">
        <f>'Order Form'!L9</f>
        <v>Default</v>
      </c>
      <c r="J8" t="str">
        <f>'Order Form'!E9</f>
        <v>50.8mm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62" t="str">
        <f>'Order Form'!G23</f>
        <v>63.5mm Ramp</v>
      </c>
      <c r="R8" s="62" t="str">
        <f>'Order Form'!H23</f>
        <v>Standard</v>
      </c>
      <c r="S8" s="62" t="str">
        <f>'Order Form'!I23</f>
        <v>Pear</v>
      </c>
      <c r="T8" t="str">
        <f>'Order Form'!D23</f>
        <v>Short - 12.7mm</v>
      </c>
      <c r="U8" t="str">
        <f>'Order Form'!J23</f>
        <v>No</v>
      </c>
      <c r="V8">
        <f>'Order Form'!K23</f>
        <v>1</v>
      </c>
      <c r="AZ8" t="s">
        <v>81</v>
      </c>
    </row>
    <row r="9" spans="1:52" x14ac:dyDescent="0.2">
      <c r="A9" t="str">
        <f>'Order Form'!B10</f>
        <v>CB002</v>
      </c>
      <c r="B9" t="str">
        <f>'Order Form'!C10</f>
        <v>Kitchen</v>
      </c>
      <c r="C9">
        <f>'Order Form'!D10</f>
        <v>1</v>
      </c>
      <c r="D9" t="str">
        <f>'Order Form'!F10</f>
        <v>003 Silk White</v>
      </c>
      <c r="E9" t="str">
        <f>'Order Form'!G10</f>
        <v>IM</v>
      </c>
      <c r="F9">
        <f>'Order Form'!H10</f>
        <v>940</v>
      </c>
      <c r="G9">
        <f>'Order Form'!I10</f>
        <v>970</v>
      </c>
      <c r="H9">
        <f>((F9*G9)/(1000*1000))*C9</f>
        <v>0.91180000000000005</v>
      </c>
      <c r="I9" t="str">
        <f>'Order Form'!L10</f>
        <v>Default</v>
      </c>
      <c r="J9" t="str">
        <f>'Order Form'!E10</f>
        <v>50.8mm</v>
      </c>
      <c r="K9" t="str">
        <f>'Order Form'!O10</f>
        <v>Not Required</v>
      </c>
      <c r="L9" t="str">
        <f>'Order Form'!K10</f>
        <v>LC</v>
      </c>
      <c r="M9" t="str">
        <f>'Order Form'!M10</f>
        <v>Default</v>
      </c>
      <c r="N9" t="str">
        <f>'Order Form'!N10</f>
        <v>Not Required</v>
      </c>
      <c r="O9" t="str">
        <f>'Order Form'!E24</f>
        <v>Left</v>
      </c>
      <c r="P9" t="str">
        <f>'Order Form'!F24</f>
        <v>Right</v>
      </c>
      <c r="Q9" s="62" t="str">
        <f>'Order Form'!G24</f>
        <v>63.5mm Ramp</v>
      </c>
      <c r="R9" s="62" t="str">
        <f>'Order Form'!H24</f>
        <v>Standard</v>
      </c>
      <c r="S9" s="62" t="str">
        <f>'Order Form'!I24</f>
        <v>Pear</v>
      </c>
      <c r="T9" t="str">
        <f>'Order Form'!D24</f>
        <v>Short - 12.7mm</v>
      </c>
      <c r="U9" t="str">
        <f>'Order Form'!J24</f>
        <v>No</v>
      </c>
      <c r="V9">
        <f>'Order Form'!K24</f>
        <v>1</v>
      </c>
    </row>
    <row r="10" spans="1:52" x14ac:dyDescent="0.2">
      <c r="A10" t="str">
        <f>'Order Form'!B11</f>
        <v>CB003</v>
      </c>
      <c r="B10">
        <f>'Order Form'!C11</f>
        <v>0</v>
      </c>
      <c r="C10">
        <f>'Order Form'!D11</f>
        <v>0</v>
      </c>
      <c r="D10">
        <f>'Order Form'!F11</f>
        <v>0</v>
      </c>
      <c r="E10">
        <f>'Order Form'!G11</f>
        <v>0</v>
      </c>
      <c r="F10">
        <f>'Order Form'!H11</f>
        <v>0</v>
      </c>
      <c r="G10">
        <f>'Order Form'!I11</f>
        <v>0</v>
      </c>
      <c r="H10">
        <f>((F10*G10)/(1000*1000))*C10</f>
        <v>0</v>
      </c>
      <c r="I10">
        <f>'Order Form'!L11</f>
        <v>0</v>
      </c>
      <c r="J10">
        <f>'Order Form'!E11</f>
        <v>0</v>
      </c>
      <c r="K10">
        <f>'Order Form'!O11</f>
        <v>0</v>
      </c>
      <c r="L10">
        <f>'Order Form'!K11</f>
        <v>0</v>
      </c>
      <c r="M10">
        <f>'Order Form'!M11</f>
        <v>0</v>
      </c>
      <c r="N10">
        <f>'Order Form'!N11</f>
        <v>0</v>
      </c>
      <c r="O10">
        <f>'Order Form'!E25</f>
        <v>0</v>
      </c>
      <c r="P10">
        <f>'Order Form'!F25</f>
        <v>0</v>
      </c>
      <c r="Q10" s="62">
        <f>'Order Form'!G25</f>
        <v>0</v>
      </c>
      <c r="R10" s="62">
        <f>'Order Form'!H25</f>
        <v>0</v>
      </c>
      <c r="S10" s="62">
        <f>'Order Form'!I25</f>
        <v>0</v>
      </c>
      <c r="T10">
        <f>'Order Form'!D25</f>
        <v>0</v>
      </c>
      <c r="U10">
        <f>'Order Form'!J25</f>
        <v>0</v>
      </c>
      <c r="V10">
        <f>'Order Form'!K25</f>
        <v>0</v>
      </c>
    </row>
    <row r="11" spans="1:52" x14ac:dyDescent="0.2">
      <c r="A11" t="str">
        <f>'Order Form'!B12</f>
        <v>CB004</v>
      </c>
      <c r="B11">
        <f>'Order Form'!C12</f>
        <v>0</v>
      </c>
      <c r="C11">
        <f>'Order Form'!D12</f>
        <v>0</v>
      </c>
      <c r="D11">
        <f>'Order Form'!F12</f>
        <v>0</v>
      </c>
      <c r="E11">
        <f>'Order Form'!G12</f>
        <v>0</v>
      </c>
      <c r="F11">
        <f>'Order Form'!H12</f>
        <v>0</v>
      </c>
      <c r="G11">
        <f>'Order Form'!I12</f>
        <v>0</v>
      </c>
      <c r="H11">
        <f>((F11*G11)/(1000*1000))*C11</f>
        <v>0</v>
      </c>
      <c r="I11">
        <f>'Order Form'!L12</f>
        <v>0</v>
      </c>
      <c r="J11">
        <f>'Order Form'!E12</f>
        <v>0</v>
      </c>
      <c r="K11">
        <f>'Order Form'!O12</f>
        <v>0</v>
      </c>
      <c r="L11">
        <f>'Order Form'!K12</f>
        <v>0</v>
      </c>
      <c r="M11">
        <f>'Order Form'!M12</f>
        <v>0</v>
      </c>
      <c r="N11">
        <f>'Order Form'!N12</f>
        <v>0</v>
      </c>
      <c r="O11">
        <f>'Order Form'!E26</f>
        <v>0</v>
      </c>
      <c r="P11">
        <f>'Order Form'!F26</f>
        <v>0</v>
      </c>
      <c r="Q11" s="62">
        <f>'Order Form'!G26</f>
        <v>0</v>
      </c>
      <c r="R11" s="62">
        <f>'Order Form'!H26</f>
        <v>0</v>
      </c>
      <c r="S11" s="62">
        <f>'Order Form'!I26</f>
        <v>0</v>
      </c>
      <c r="T11">
        <f>'Order Form'!D26</f>
        <v>0</v>
      </c>
      <c r="U11">
        <f>'Order Form'!J26</f>
        <v>0</v>
      </c>
      <c r="V11">
        <f>'Order Form'!K26</f>
        <v>0</v>
      </c>
    </row>
    <row r="12" spans="1:52" x14ac:dyDescent="0.2">
      <c r="A12" t="str">
        <f>'Order Form'!B13</f>
        <v>CB005</v>
      </c>
      <c r="B12">
        <f>'Order Form'!C13</f>
        <v>0</v>
      </c>
      <c r="C12">
        <f>'Order Form'!D13</f>
        <v>0</v>
      </c>
      <c r="D12">
        <f>'Order Form'!F13</f>
        <v>0</v>
      </c>
      <c r="E12">
        <f>'Order Form'!G13</f>
        <v>0</v>
      </c>
      <c r="F12">
        <f>'Order Form'!H13</f>
        <v>0</v>
      </c>
      <c r="G12">
        <f>'Order Form'!I13</f>
        <v>0</v>
      </c>
      <c r="H12">
        <f t="shared" ref="H12:H18" si="0">((F12*G12)/(1000*1000))*C12</f>
        <v>0</v>
      </c>
      <c r="I12">
        <f>'Order Form'!L13</f>
        <v>0</v>
      </c>
      <c r="J12">
        <f>'Order Form'!E13</f>
        <v>0</v>
      </c>
      <c r="K12">
        <f>'Order Form'!O13</f>
        <v>0</v>
      </c>
      <c r="L12">
        <f>'Order Form'!K13</f>
        <v>0</v>
      </c>
      <c r="M12">
        <f>'Order Form'!M13</f>
        <v>0</v>
      </c>
      <c r="N12">
        <f>'Order Form'!N13</f>
        <v>0</v>
      </c>
      <c r="O12">
        <f>'Order Form'!E27</f>
        <v>0</v>
      </c>
      <c r="P12">
        <f>'Order Form'!F27</f>
        <v>0</v>
      </c>
      <c r="Q12" s="62">
        <f>'Order Form'!G27</f>
        <v>0</v>
      </c>
      <c r="R12" s="62">
        <f>'Order Form'!H27</f>
        <v>0</v>
      </c>
      <c r="S12" s="62">
        <f>'Order Form'!I27</f>
        <v>0</v>
      </c>
      <c r="T12">
        <f>'Order Form'!D27</f>
        <v>0</v>
      </c>
      <c r="U12">
        <f>'Order Form'!J27</f>
        <v>0</v>
      </c>
      <c r="V12">
        <f>'Order Form'!K27</f>
        <v>0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62">
        <f>'Order Form'!G28</f>
        <v>0</v>
      </c>
      <c r="R13" s="62">
        <f>'Order Form'!H28</f>
        <v>0</v>
      </c>
      <c r="S13" s="6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62">
        <f>'Order Form'!G29</f>
        <v>0</v>
      </c>
      <c r="R14" s="62">
        <f>'Order Form'!H29</f>
        <v>0</v>
      </c>
      <c r="S14" s="6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62">
        <f>'Order Form'!G30</f>
        <v>0</v>
      </c>
      <c r="R15" s="62">
        <f>'Order Form'!H30</f>
        <v>0</v>
      </c>
      <c r="S15" s="6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62">
        <f>'Order Form'!G31</f>
        <v>0</v>
      </c>
      <c r="R16" s="62">
        <f>'Order Form'!H31</f>
        <v>0</v>
      </c>
      <c r="S16" s="6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62">
        <f>'Order Form'!G32</f>
        <v>0</v>
      </c>
      <c r="R17" s="62">
        <f>'Order Form'!H32</f>
        <v>0</v>
      </c>
      <c r="S17" s="6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62">
        <f>'Order Form'!G33</f>
        <v>0</v>
      </c>
      <c r="R18" s="62">
        <f>'Order Form'!H33</f>
        <v>0</v>
      </c>
      <c r="S18" s="6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0">
        <f>SUM(H8:H18)</f>
        <v>1.6198999999999999</v>
      </c>
    </row>
    <row r="20" spans="1:22" ht="13.5" thickTop="1" x14ac:dyDescent="0.2"/>
    <row r="21" spans="1:22" x14ac:dyDescent="0.2">
      <c r="A21" s="3" t="s">
        <v>61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202</v>
      </c>
      <c r="R22" s="136" t="s">
        <v>277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2</v>
      </c>
      <c r="G23">
        <f t="shared" ref="G23:G33" si="3">VLOOKUP(G8,DropRow,2,TRUE)</f>
        <v>4</v>
      </c>
      <c r="H23">
        <f>IF(C8=0,0,H8/C8)</f>
        <v>0.70809999999999995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64">
        <f t="shared" ref="L23:L33" ca="1" si="6">IF(L8&lt;&gt;0,VLOOKUP(L8,INDIRECT(Prefix &amp; "LadderChoicePrices"),2,0),0)</f>
        <v>0</v>
      </c>
      <c r="Q23" s="64">
        <f>VLOOKUP('Price Calculations'!Q8,b_ValanceDesignPrices,2,FALSE)</f>
        <v>0</v>
      </c>
      <c r="R23" s="56">
        <f>IF(R8="Standard",0,IF((R8-F8)&gt;0,(R8-F8)/1000,0))</f>
        <v>0</v>
      </c>
      <c r="S23" s="5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4</v>
      </c>
      <c r="G24">
        <f t="shared" si="3"/>
        <v>4</v>
      </c>
      <c r="H24">
        <f t="shared" ref="H24:H33" si="10">IF(C9=0,0,H9/C9)</f>
        <v>0.91180000000000005</v>
      </c>
      <c r="J24">
        <f t="shared" ca="1" si="4"/>
        <v>50</v>
      </c>
      <c r="K24" t="e">
        <f t="shared" ca="1" si="5"/>
        <v>#N/A</v>
      </c>
      <c r="L24" s="64">
        <f t="shared" ca="1" si="6"/>
        <v>0</v>
      </c>
      <c r="Q24" s="64">
        <f>VLOOKUP('Price Calculations'!Q9,b_ValanceDesignPrices,2,FALSE)</f>
        <v>0</v>
      </c>
      <c r="R24" s="56">
        <f t="shared" ref="R24:R33" si="11">IF(R9="Standard",0,IF((R9-F9)&gt;0,(R9-F9)/1000,0))</f>
        <v>0</v>
      </c>
      <c r="S24" s="5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0</v>
      </c>
      <c r="D25">
        <f t="shared" ca="1" si="1"/>
        <v>0</v>
      </c>
      <c r="F25" t="e">
        <f t="shared" si="2"/>
        <v>#N/A</v>
      </c>
      <c r="G25" t="e">
        <f t="shared" si="3"/>
        <v>#N/A</v>
      </c>
      <c r="H25">
        <f t="shared" si="10"/>
        <v>0</v>
      </c>
      <c r="J25">
        <f t="shared" ca="1" si="4"/>
        <v>0</v>
      </c>
      <c r="K25">
        <f t="shared" ca="1" si="5"/>
        <v>0</v>
      </c>
      <c r="L25" s="64">
        <f t="shared" ca="1" si="6"/>
        <v>0</v>
      </c>
      <c r="Q25" s="64" t="e">
        <f>VLOOKUP('Price Calculations'!Q10,b_ValanceDesignPrices,2,FALSE)</f>
        <v>#N/A</v>
      </c>
      <c r="R25" s="56">
        <f t="shared" si="11"/>
        <v>0</v>
      </c>
      <c r="S25" s="5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0</v>
      </c>
      <c r="D26">
        <f t="shared" ca="1" si="1"/>
        <v>0</v>
      </c>
      <c r="F26" t="e">
        <f t="shared" si="2"/>
        <v>#N/A</v>
      </c>
      <c r="G26" t="e">
        <f t="shared" si="3"/>
        <v>#N/A</v>
      </c>
      <c r="H26">
        <f t="shared" si="10"/>
        <v>0</v>
      </c>
      <c r="J26">
        <f t="shared" ca="1" si="4"/>
        <v>0</v>
      </c>
      <c r="K26">
        <f t="shared" ca="1" si="5"/>
        <v>0</v>
      </c>
      <c r="L26" s="64">
        <f t="shared" ca="1" si="6"/>
        <v>0</v>
      </c>
      <c r="Q26" s="64" t="e">
        <f>VLOOKUP('Price Calculations'!Q11,b_ValanceDesignPrices,2,FALSE)</f>
        <v>#N/A</v>
      </c>
      <c r="R26" s="56">
        <f t="shared" si="11"/>
        <v>0</v>
      </c>
      <c r="S26" s="5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0</v>
      </c>
      <c r="D27">
        <f t="shared" ca="1" si="1"/>
        <v>0</v>
      </c>
      <c r="F27" t="e">
        <f t="shared" si="2"/>
        <v>#N/A</v>
      </c>
      <c r="G27" t="e">
        <f t="shared" si="3"/>
        <v>#N/A</v>
      </c>
      <c r="H27">
        <f t="shared" si="10"/>
        <v>0</v>
      </c>
      <c r="J27">
        <f t="shared" ca="1" si="4"/>
        <v>0</v>
      </c>
      <c r="K27">
        <f t="shared" ca="1" si="5"/>
        <v>0</v>
      </c>
      <c r="L27" s="64">
        <f t="shared" ca="1" si="6"/>
        <v>0</v>
      </c>
      <c r="Q27" s="64" t="e">
        <f>VLOOKUP('Price Calculations'!Q12,b_ValanceDesignPrices,2,FALSE)</f>
        <v>#N/A</v>
      </c>
      <c r="R27" s="56">
        <f t="shared" si="11"/>
        <v>0</v>
      </c>
      <c r="S27" s="5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64">
        <f t="shared" ca="1" si="6"/>
        <v>0</v>
      </c>
      <c r="Q28" s="64" t="e">
        <f>VLOOKUP('Price Calculations'!Q13,b_ValanceDesignPrices,2,FALSE)</f>
        <v>#N/A</v>
      </c>
      <c r="R28" s="56">
        <f t="shared" si="11"/>
        <v>0</v>
      </c>
      <c r="S28" s="5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64">
        <f t="shared" ca="1" si="6"/>
        <v>0</v>
      </c>
      <c r="Q29" s="64" t="e">
        <f>VLOOKUP('Price Calculations'!Q14,b_ValanceDesignPrices,2,FALSE)</f>
        <v>#N/A</v>
      </c>
      <c r="R29" s="56">
        <f t="shared" si="11"/>
        <v>0</v>
      </c>
      <c r="S29" s="5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64">
        <f t="shared" ca="1" si="6"/>
        <v>0</v>
      </c>
      <c r="Q30" s="64" t="e">
        <f>VLOOKUP('Price Calculations'!Q15,b_ValanceDesignPrices,2,FALSE)</f>
        <v>#N/A</v>
      </c>
      <c r="R30" s="56">
        <f t="shared" si="11"/>
        <v>0</v>
      </c>
      <c r="S30" s="5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64">
        <f t="shared" ca="1" si="6"/>
        <v>0</v>
      </c>
      <c r="Q31" s="64" t="e">
        <f>VLOOKUP('Price Calculations'!Q16,b_ValanceDesignPrices,2,FALSE)</f>
        <v>#N/A</v>
      </c>
      <c r="R31" s="56">
        <f t="shared" si="11"/>
        <v>0</v>
      </c>
      <c r="S31" s="5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64">
        <f t="shared" ca="1" si="6"/>
        <v>0</v>
      </c>
      <c r="Q32" s="64" t="e">
        <f>VLOOKUP('Price Calculations'!Q17,b_ValanceDesignPrices,2,FALSE)</f>
        <v>#N/A</v>
      </c>
      <c r="R32" s="56">
        <f t="shared" si="11"/>
        <v>0</v>
      </c>
      <c r="S32" s="5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64">
        <f t="shared" ca="1" si="6"/>
        <v>0</v>
      </c>
      <c r="Q33" s="64" t="e">
        <f>VLOOKUP('Price Calculations'!Q18,b_ValanceDesignPrices,2,FALSE)</f>
        <v>#N/A</v>
      </c>
      <c r="R33" s="56">
        <f t="shared" si="11"/>
        <v>0</v>
      </c>
      <c r="S33" s="56"/>
      <c r="U33">
        <f t="shared" ca="1" si="7"/>
        <v>0</v>
      </c>
      <c r="V33">
        <f t="shared" ca="1" si="8"/>
        <v>0</v>
      </c>
    </row>
    <row r="36" spans="1:29" x14ac:dyDescent="0.2">
      <c r="A36" s="3" t="s">
        <v>62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199</v>
      </c>
      <c r="H37" s="118" t="s">
        <v>266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202</v>
      </c>
      <c r="R37" s="136" t="s">
        <v>275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235</v>
      </c>
      <c r="Y37" s="2" t="s">
        <v>236</v>
      </c>
      <c r="Z37" s="19" t="s">
        <v>88</v>
      </c>
      <c r="AA37" s="2" t="s">
        <v>8</v>
      </c>
      <c r="AB37" s="19" t="s">
        <v>267</v>
      </c>
      <c r="AC37" s="21" t="s">
        <v>89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66.91</v>
      </c>
      <c r="L38">
        <f ca="1">L23*H38</f>
        <v>0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66.91</v>
      </c>
      <c r="X38" s="53">
        <f ca="1">D38</f>
        <v>0</v>
      </c>
      <c r="Y38">
        <f ca="1">SUM(E38:V38)</f>
        <v>66.91</v>
      </c>
      <c r="Z38">
        <f ca="1">IF(W38="POA","POA",X38+(Y38*(1-$B$1)))</f>
        <v>46.836999999999996</v>
      </c>
      <c r="AA38">
        <f ca="1">IF(W38="POA","POA",ROUND(Z38*C8,2))</f>
        <v>46.84</v>
      </c>
      <c r="AB38">
        <f ca="1">W38*C8</f>
        <v>66.91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88.23</v>
      </c>
      <c r="L39">
        <f t="shared" ref="L39:L48" ca="1" si="18">L24*H39</f>
        <v>0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88.23</v>
      </c>
      <c r="X39" s="53">
        <f t="shared" ref="X39:X48" ca="1" si="21">D39</f>
        <v>0</v>
      </c>
      <c r="Y39">
        <f t="shared" ref="Y39:Y48" ca="1" si="22">SUM(E39:V39)</f>
        <v>88.23</v>
      </c>
      <c r="Z39">
        <f t="shared" ref="Z39:Z48" ca="1" si="23">IF(W39="POA","POA",X39+(Y39*(1-$B$1)))</f>
        <v>61.760999999999996</v>
      </c>
      <c r="AA39">
        <f t="shared" ref="AA39:AA48" ca="1" si="24">IF(W39="POA","POA",Z39*C9)</f>
        <v>61.760999999999996</v>
      </c>
      <c r="AB39">
        <f t="shared" ref="AB39:AB48" ca="1" si="25">W39*C9</f>
        <v>88.23</v>
      </c>
    </row>
    <row r="40" spans="1:29" x14ac:dyDescent="0.2">
      <c r="A40" t="str">
        <f>A25</f>
        <v>CB003</v>
      </c>
      <c r="C40">
        <f t="shared" si="16"/>
        <v>0</v>
      </c>
      <c r="D40">
        <f t="shared" ca="1" si="17"/>
        <v>0</v>
      </c>
      <c r="H40">
        <f t="shared" ca="1" si="13"/>
        <v>0</v>
      </c>
      <c r="L40">
        <f t="shared" ca="1" si="18"/>
        <v>0</v>
      </c>
      <c r="Q40">
        <f t="shared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0</v>
      </c>
      <c r="X40" s="53">
        <f t="shared" ca="1" si="21"/>
        <v>0</v>
      </c>
      <c r="Y40">
        <f t="shared" ca="1" si="22"/>
        <v>0</v>
      </c>
      <c r="Z40">
        <f t="shared" ca="1" si="23"/>
        <v>0</v>
      </c>
      <c r="AA40">
        <f t="shared" ca="1" si="24"/>
        <v>0</v>
      </c>
      <c r="AB40">
        <f t="shared" ca="1" si="25"/>
        <v>0</v>
      </c>
    </row>
    <row r="41" spans="1:29" x14ac:dyDescent="0.2">
      <c r="A41" t="str">
        <f>A26</f>
        <v>CB004</v>
      </c>
      <c r="C41">
        <f t="shared" si="16"/>
        <v>0</v>
      </c>
      <c r="D41">
        <f t="shared" ca="1" si="17"/>
        <v>0</v>
      </c>
      <c r="H41">
        <f t="shared" ca="1" si="13"/>
        <v>0</v>
      </c>
      <c r="L41">
        <f t="shared" ca="1" si="18"/>
        <v>0</v>
      </c>
      <c r="Q41">
        <f t="shared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0</v>
      </c>
      <c r="X41" s="53">
        <f t="shared" ca="1" si="21"/>
        <v>0</v>
      </c>
      <c r="Y41">
        <f t="shared" ca="1" si="22"/>
        <v>0</v>
      </c>
      <c r="Z41">
        <f t="shared" ca="1" si="23"/>
        <v>0</v>
      </c>
      <c r="AA41">
        <f t="shared" ca="1" si="24"/>
        <v>0</v>
      </c>
      <c r="AB41">
        <f t="shared" ca="1" si="25"/>
        <v>0</v>
      </c>
    </row>
    <row r="42" spans="1:29" x14ac:dyDescent="0.2">
      <c r="A42" t="str">
        <f t="shared" ref="A42:A48" si="26">A27</f>
        <v>CB005</v>
      </c>
      <c r="C42">
        <f t="shared" si="16"/>
        <v>0</v>
      </c>
      <c r="D42">
        <f t="shared" ca="1" si="17"/>
        <v>0</v>
      </c>
      <c r="H42">
        <f t="shared" ca="1" si="13"/>
        <v>0</v>
      </c>
      <c r="L42">
        <f t="shared" ca="1" si="18"/>
        <v>0</v>
      </c>
      <c r="Q42">
        <f t="shared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0</v>
      </c>
      <c r="X42" s="53">
        <f t="shared" ca="1" si="21"/>
        <v>0</v>
      </c>
      <c r="Y42">
        <f t="shared" ca="1" si="22"/>
        <v>0</v>
      </c>
      <c r="Z42">
        <f t="shared" ca="1" si="23"/>
        <v>0</v>
      </c>
      <c r="AA42">
        <f t="shared" ca="1" si="24"/>
        <v>0</v>
      </c>
      <c r="AB42">
        <f t="shared" ca="1" si="25"/>
        <v>0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5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5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5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5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5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5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26" t="s">
        <v>313</v>
      </c>
      <c r="D49" s="126" t="s">
        <v>254</v>
      </c>
      <c r="X49" s="53"/>
    </row>
    <row r="50" spans="1:30" x14ac:dyDescent="0.2">
      <c r="D50" s="126">
        <f>IF(COUNTIF(D8:D18,"246 Matte Black")&gt;0,VLOOKUP(D49,b_ColourPrices,3),0)</f>
        <v>0</v>
      </c>
      <c r="X50" s="53"/>
    </row>
    <row r="51" spans="1:30" x14ac:dyDescent="0.2">
      <c r="C51" s="24" t="s">
        <v>128</v>
      </c>
      <c r="D51" s="24"/>
      <c r="Z51" s="42" t="s">
        <v>152</v>
      </c>
      <c r="AA51" s="24">
        <f ca="1">SUM(AA38:AA48)</f>
        <v>108.601</v>
      </c>
      <c r="AB51">
        <f ca="1">SUM(AB38:AB48)</f>
        <v>155.13999999999999</v>
      </c>
    </row>
    <row r="52" spans="1:30" x14ac:dyDescent="0.2">
      <c r="C52" s="42" t="s">
        <v>129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42" t="s">
        <v>130</v>
      </c>
      <c r="D53">
        <f>IF(AND(SwatchColours=0,(COUNTIF(D8:D18,"Other swatch (Paint)")+COUNTIF(D8:D18,"Other swatch (Stain)")&gt;0)),"POA",SwatchColours*184.8)</f>
        <v>0</v>
      </c>
      <c r="X53" t="s">
        <v>82</v>
      </c>
    </row>
    <row r="54" spans="1:30" ht="13.5" thickBot="1" x14ac:dyDescent="0.25">
      <c r="C54" s="1" t="s">
        <v>8</v>
      </c>
      <c r="D54" s="20">
        <f>IF(OR(D52="POA",D53="POA"),"POA",SUM(D50:D53))</f>
        <v>0</v>
      </c>
      <c r="X54" t="s">
        <v>34</v>
      </c>
    </row>
    <row r="55" spans="1:30" ht="13.5" thickTop="1" x14ac:dyDescent="0.2">
      <c r="A55" s="24" t="s">
        <v>100</v>
      </c>
      <c r="B55" s="24" t="s">
        <v>101</v>
      </c>
      <c r="C55" t="s">
        <v>122</v>
      </c>
      <c r="F55" s="24" t="s">
        <v>78</v>
      </c>
      <c r="U55" s="22" t="s">
        <v>120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26" t="s">
        <v>268</v>
      </c>
      <c r="B56" t="s">
        <v>102</v>
      </c>
      <c r="C56" t="s">
        <v>131</v>
      </c>
      <c r="F56" t="s">
        <v>16</v>
      </c>
      <c r="G56" t="s">
        <v>34</v>
      </c>
      <c r="H56" t="s">
        <v>79</v>
      </c>
      <c r="U56" s="22" t="s">
        <v>91</v>
      </c>
    </row>
    <row r="57" spans="1:30" x14ac:dyDescent="0.2">
      <c r="C57" t="s">
        <v>132</v>
      </c>
      <c r="F57" s="1" t="s">
        <v>115</v>
      </c>
      <c r="G57" s="25">
        <v>0</v>
      </c>
      <c r="H57" s="25">
        <v>0</v>
      </c>
    </row>
    <row r="58" spans="1:30" x14ac:dyDescent="0.2">
      <c r="C58" t="s">
        <v>135</v>
      </c>
      <c r="F58" s="1" t="s">
        <v>156</v>
      </c>
      <c r="G58" s="25">
        <v>0</v>
      </c>
      <c r="H58" s="25">
        <v>0</v>
      </c>
      <c r="U58" s="22" t="s">
        <v>90</v>
      </c>
      <c r="X58">
        <f>$H$19</f>
        <v>1.6198999999999999</v>
      </c>
    </row>
    <row r="59" spans="1:30" ht="12.75" customHeight="1" x14ac:dyDescent="0.2">
      <c r="E59" s="42"/>
      <c r="F59" s="1"/>
      <c r="G59">
        <v>0</v>
      </c>
      <c r="U59" s="22" t="s">
        <v>185</v>
      </c>
      <c r="Y59" s="42" t="s">
        <v>186</v>
      </c>
      <c r="Z59" s="256" t="s">
        <v>126</v>
      </c>
      <c r="AA59" s="257"/>
      <c r="AB59" s="257"/>
      <c r="AC59" s="257"/>
      <c r="AD59" s="258"/>
    </row>
    <row r="60" spans="1:30" ht="12.75" customHeight="1" x14ac:dyDescent="0.2">
      <c r="A60" s="24" t="s">
        <v>234</v>
      </c>
      <c r="U60" s="22" t="s">
        <v>117</v>
      </c>
      <c r="X60">
        <f ca="1">X55-X56</f>
        <v>0</v>
      </c>
    </row>
    <row r="61" spans="1:30" ht="12.75" customHeight="1" x14ac:dyDescent="0.2">
      <c r="A61" s="126" t="s">
        <v>273</v>
      </c>
      <c r="U61" s="22" t="s">
        <v>118</v>
      </c>
      <c r="V61" s="42"/>
      <c r="W61" s="42"/>
      <c r="X61">
        <f ca="1">IF(AND(AB51&gt;0,(AB51+D54)&lt;150),DeliveryCharge,0)</f>
        <v>0</v>
      </c>
    </row>
    <row r="62" spans="1:30" ht="12.75" customHeight="1" x14ac:dyDescent="0.2">
      <c r="U62" s="22" t="s">
        <v>92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2" t="s">
        <v>125</v>
      </c>
      <c r="X64" s="50">
        <v>0</v>
      </c>
    </row>
    <row r="65" spans="1:25" ht="12.75" customHeight="1" x14ac:dyDescent="0.2"/>
    <row r="66" spans="1:25" ht="12.75" customHeight="1" x14ac:dyDescent="0.2">
      <c r="E66" s="1" t="s">
        <v>198</v>
      </c>
      <c r="U66" s="22" t="s">
        <v>158</v>
      </c>
      <c r="X66" s="24">
        <f ca="1">ROUND(AA51+X60+X61,2)</f>
        <v>108.6</v>
      </c>
    </row>
    <row r="67" spans="1:25" ht="12.75" customHeight="1" x14ac:dyDescent="0.2">
      <c r="E67">
        <v>0.7</v>
      </c>
      <c r="L67" t="s">
        <v>137</v>
      </c>
      <c r="M67" t="s">
        <v>34</v>
      </c>
    </row>
    <row r="68" spans="1:25" ht="12.75" customHeight="1" x14ac:dyDescent="0.2">
      <c r="U68" s="22" t="s">
        <v>184</v>
      </c>
      <c r="X68" s="146">
        <v>1</v>
      </c>
      <c r="Y68" t="str">
        <f>IF(X68=2,"Alternative","Normal")</f>
        <v>Normal</v>
      </c>
    </row>
    <row r="69" spans="1:25" x14ac:dyDescent="0.2">
      <c r="A69" t="s">
        <v>229</v>
      </c>
      <c r="B69" t="s">
        <v>230</v>
      </c>
      <c r="D69" t="s">
        <v>231</v>
      </c>
      <c r="E69" t="s">
        <v>232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10">
        <v>611</v>
      </c>
      <c r="B71">
        <v>2</v>
      </c>
      <c r="D71" s="110">
        <v>611</v>
      </c>
      <c r="E71">
        <v>2</v>
      </c>
      <c r="G71" s="53"/>
      <c r="J71" s="110"/>
    </row>
    <row r="72" spans="1:25" x14ac:dyDescent="0.2">
      <c r="A72" s="110">
        <v>763</v>
      </c>
      <c r="B72">
        <v>3</v>
      </c>
      <c r="D72" s="110">
        <v>763</v>
      </c>
      <c r="E72">
        <v>3</v>
      </c>
      <c r="G72" s="53"/>
      <c r="J72" s="110"/>
    </row>
    <row r="73" spans="1:25" x14ac:dyDescent="0.2">
      <c r="A73" s="110">
        <v>915</v>
      </c>
      <c r="B73">
        <v>4</v>
      </c>
      <c r="D73" s="110">
        <v>915</v>
      </c>
      <c r="E73">
        <v>4</v>
      </c>
      <c r="G73" s="53"/>
      <c r="J73" s="110"/>
    </row>
    <row r="74" spans="1:25" x14ac:dyDescent="0.2">
      <c r="A74" s="110">
        <v>1068</v>
      </c>
      <c r="B74">
        <v>5</v>
      </c>
      <c r="D74" s="110">
        <v>1068</v>
      </c>
      <c r="E74">
        <v>5</v>
      </c>
      <c r="G74" s="53"/>
      <c r="J74" s="110"/>
    </row>
    <row r="75" spans="1:25" x14ac:dyDescent="0.2">
      <c r="A75" s="110">
        <v>1220</v>
      </c>
      <c r="B75">
        <v>6</v>
      </c>
      <c r="D75" s="110">
        <v>1220</v>
      </c>
      <c r="E75">
        <v>6</v>
      </c>
      <c r="G75" s="53"/>
      <c r="J75" s="110"/>
    </row>
    <row r="76" spans="1:25" x14ac:dyDescent="0.2">
      <c r="A76" s="110">
        <v>1373</v>
      </c>
      <c r="B76">
        <v>7</v>
      </c>
      <c r="D76" s="110">
        <v>1373</v>
      </c>
      <c r="E76">
        <v>7</v>
      </c>
      <c r="G76" s="53"/>
      <c r="J76" s="110"/>
    </row>
    <row r="77" spans="1:25" x14ac:dyDescent="0.2">
      <c r="A77" s="110">
        <v>1525</v>
      </c>
      <c r="B77">
        <v>8</v>
      </c>
      <c r="D77" s="110">
        <v>1525</v>
      </c>
      <c r="E77">
        <v>8</v>
      </c>
      <c r="G77" s="53"/>
      <c r="J77" s="110"/>
    </row>
    <row r="78" spans="1:25" x14ac:dyDescent="0.2">
      <c r="A78" s="110">
        <v>1677</v>
      </c>
      <c r="B78">
        <v>9</v>
      </c>
      <c r="D78" s="110">
        <v>1677</v>
      </c>
      <c r="E78">
        <v>9</v>
      </c>
      <c r="G78" s="53"/>
      <c r="J78" s="110"/>
    </row>
    <row r="79" spans="1:25" x14ac:dyDescent="0.2">
      <c r="A79" s="110">
        <v>1830</v>
      </c>
      <c r="B79">
        <v>10</v>
      </c>
      <c r="D79" s="110">
        <v>1830</v>
      </c>
      <c r="E79">
        <v>10</v>
      </c>
      <c r="G79" s="53"/>
      <c r="J79" s="110"/>
    </row>
    <row r="80" spans="1:25" x14ac:dyDescent="0.2">
      <c r="A80" s="110">
        <v>1982</v>
      </c>
      <c r="B80">
        <v>11</v>
      </c>
      <c r="D80" s="110">
        <v>1982</v>
      </c>
      <c r="E80">
        <v>11</v>
      </c>
      <c r="G80" s="53"/>
      <c r="J80" s="110"/>
    </row>
    <row r="81" spans="1:10" x14ac:dyDescent="0.2">
      <c r="A81" s="110">
        <v>2135</v>
      </c>
      <c r="B81">
        <v>12</v>
      </c>
      <c r="D81" s="110">
        <v>2135</v>
      </c>
      <c r="E81">
        <v>12</v>
      </c>
      <c r="G81" s="53"/>
      <c r="J81" s="110"/>
    </row>
    <row r="82" spans="1:10" x14ac:dyDescent="0.2">
      <c r="A82" s="110">
        <v>2287</v>
      </c>
      <c r="B82">
        <v>13</v>
      </c>
      <c r="D82" s="110">
        <v>2287</v>
      </c>
      <c r="E82">
        <v>13</v>
      </c>
      <c r="G82" s="53"/>
      <c r="J82" s="110"/>
    </row>
    <row r="83" spans="1:10" x14ac:dyDescent="0.2">
      <c r="A83" s="110">
        <v>2439</v>
      </c>
      <c r="B83">
        <v>14</v>
      </c>
      <c r="D83" s="110">
        <v>2439</v>
      </c>
      <c r="E83">
        <v>14</v>
      </c>
      <c r="G83" s="53"/>
      <c r="J83" s="110"/>
    </row>
    <row r="84" spans="1:10" x14ac:dyDescent="0.2">
      <c r="A84" s="110">
        <v>2592</v>
      </c>
      <c r="B84">
        <v>15</v>
      </c>
      <c r="D84" s="110">
        <v>2451</v>
      </c>
      <c r="E84">
        <v>15</v>
      </c>
      <c r="G84" s="53"/>
      <c r="J84" s="110"/>
    </row>
    <row r="85" spans="1:10" x14ac:dyDescent="0.2">
      <c r="A85" s="110">
        <v>2744</v>
      </c>
      <c r="B85">
        <v>16</v>
      </c>
      <c r="D85" s="110">
        <v>2597</v>
      </c>
      <c r="E85">
        <v>16</v>
      </c>
      <c r="G85" s="53"/>
      <c r="J85" s="53"/>
    </row>
    <row r="86" spans="1:10" x14ac:dyDescent="0.2">
      <c r="A86" s="110">
        <v>2897</v>
      </c>
      <c r="B86">
        <v>17</v>
      </c>
      <c r="D86" s="110">
        <v>2748</v>
      </c>
      <c r="E86">
        <v>17</v>
      </c>
      <c r="G86" s="53"/>
      <c r="J86" s="53"/>
    </row>
    <row r="87" spans="1:10" x14ac:dyDescent="0.2">
      <c r="A87" s="110">
        <v>3049</v>
      </c>
      <c r="B87">
        <v>18</v>
      </c>
      <c r="D87" s="110">
        <v>2899</v>
      </c>
      <c r="E87">
        <v>18</v>
      </c>
      <c r="G87" s="53"/>
      <c r="J87" s="53"/>
    </row>
    <row r="88" spans="1:10" x14ac:dyDescent="0.2">
      <c r="D88" s="110">
        <v>3049</v>
      </c>
      <c r="E88">
        <v>19</v>
      </c>
      <c r="G88" s="53"/>
      <c r="J88" s="53"/>
    </row>
  </sheetData>
  <sheetProtection algorithmName="SHA-512" hashValue="eBOdIF2xXe+4DXRMI98ihRQ0WLHGCqebgIG5dd2iKxkt3iaW+/6/6XswIWPYVd2hUqdQDAV2hoimqsvv2sIU6Q==" saltValue="NUkawR+Z2gTConjBe4Plbg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Normal="100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77</v>
      </c>
      <c r="V1" s="1" t="s">
        <v>201</v>
      </c>
      <c r="Y1" s="1" t="s">
        <v>200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116</v>
      </c>
      <c r="BG1" t="s">
        <v>144</v>
      </c>
      <c r="BI1" s="126" t="s">
        <v>317</v>
      </c>
      <c r="BK1" s="126" t="s">
        <v>335</v>
      </c>
    </row>
    <row r="2" spans="1:64" x14ac:dyDescent="0.2">
      <c r="A2" t="s">
        <v>16</v>
      </c>
      <c r="B2" s="126" t="s">
        <v>314</v>
      </c>
      <c r="C2" s="126" t="s">
        <v>313</v>
      </c>
      <c r="E2" t="s">
        <v>16</v>
      </c>
      <c r="F2" s="1" t="s">
        <v>245</v>
      </c>
      <c r="G2" t="s">
        <v>34</v>
      </c>
      <c r="I2" t="s">
        <v>16</v>
      </c>
      <c r="J2" t="s">
        <v>34</v>
      </c>
      <c r="L2" t="s">
        <v>16</v>
      </c>
      <c r="M2" t="s">
        <v>233</v>
      </c>
      <c r="N2" t="s">
        <v>34</v>
      </c>
      <c r="P2" t="s">
        <v>16</v>
      </c>
      <c r="Q2" t="s">
        <v>34</v>
      </c>
      <c r="S2" t="s">
        <v>16</v>
      </c>
      <c r="T2" t="s">
        <v>154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260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157</v>
      </c>
      <c r="BF2" t="s">
        <v>79</v>
      </c>
      <c r="BG2" t="s">
        <v>16</v>
      </c>
      <c r="BH2" t="s">
        <v>34</v>
      </c>
      <c r="BI2" s="126" t="s">
        <v>16</v>
      </c>
      <c r="BJ2" s="126" t="s">
        <v>34</v>
      </c>
      <c r="BK2" s="126" t="s">
        <v>16</v>
      </c>
      <c r="BL2" s="126" t="s">
        <v>34</v>
      </c>
    </row>
    <row r="3" spans="1:64" x14ac:dyDescent="0.2">
      <c r="A3" s="9" t="s">
        <v>67</v>
      </c>
      <c r="B3">
        <v>0</v>
      </c>
      <c r="C3">
        <v>0</v>
      </c>
      <c r="E3" s="126" t="s">
        <v>278</v>
      </c>
      <c r="F3" s="1" t="s">
        <v>246</v>
      </c>
      <c r="I3" s="126" t="s">
        <v>93</v>
      </c>
      <c r="L3" t="s">
        <v>11</v>
      </c>
      <c r="M3">
        <v>50</v>
      </c>
      <c r="N3" s="16">
        <v>0</v>
      </c>
      <c r="P3" t="s">
        <v>35</v>
      </c>
      <c r="Q3" s="16">
        <v>0</v>
      </c>
      <c r="S3" s="126" t="s">
        <v>286</v>
      </c>
      <c r="T3" s="64">
        <v>0</v>
      </c>
      <c r="V3" s="126" t="s">
        <v>93</v>
      </c>
      <c r="Y3" s="126" t="s">
        <v>87</v>
      </c>
      <c r="AB3" t="s">
        <v>87</v>
      </c>
      <c r="AE3" s="1" t="s">
        <v>58</v>
      </c>
      <c r="AH3" t="s">
        <v>58</v>
      </c>
      <c r="AK3" s="126" t="s">
        <v>269</v>
      </c>
      <c r="AN3" t="s">
        <v>197</v>
      </c>
      <c r="AO3">
        <v>0</v>
      </c>
      <c r="AR3" t="s">
        <v>13</v>
      </c>
      <c r="AU3" t="s">
        <v>35</v>
      </c>
      <c r="AV3" s="16">
        <v>0</v>
      </c>
      <c r="AX3">
        <v>1</v>
      </c>
      <c r="AY3" s="16">
        <v>0</v>
      </c>
      <c r="BA3" t="s">
        <v>13</v>
      </c>
      <c r="BD3" s="1" t="s">
        <v>248</v>
      </c>
      <c r="BE3" s="64">
        <v>0</v>
      </c>
      <c r="BF3" s="16">
        <v>0</v>
      </c>
      <c r="BG3" t="s">
        <v>145</v>
      </c>
      <c r="BH3" s="16"/>
      <c r="BI3" s="126" t="s">
        <v>93</v>
      </c>
      <c r="BK3" s="126" t="s">
        <v>336</v>
      </c>
    </row>
    <row r="4" spans="1:64" x14ac:dyDescent="0.2">
      <c r="A4" s="9" t="s">
        <v>68</v>
      </c>
      <c r="B4">
        <v>0</v>
      </c>
      <c r="C4">
        <v>0</v>
      </c>
      <c r="E4" s="126" t="s">
        <v>279</v>
      </c>
      <c r="F4" s="1" t="s">
        <v>247</v>
      </c>
      <c r="I4" s="137" t="s">
        <v>280</v>
      </c>
      <c r="L4" t="s">
        <v>12</v>
      </c>
      <c r="M4">
        <v>64</v>
      </c>
      <c r="N4" s="16">
        <v>0</v>
      </c>
      <c r="P4" t="s">
        <v>13</v>
      </c>
      <c r="Q4" s="16">
        <v>0</v>
      </c>
      <c r="S4" t="s">
        <v>36</v>
      </c>
      <c r="T4" s="63">
        <v>0.1</v>
      </c>
      <c r="V4" s="137" t="s">
        <v>287</v>
      </c>
      <c r="Y4" s="137" t="s">
        <v>291</v>
      </c>
      <c r="AB4" t="s">
        <v>40</v>
      </c>
      <c r="AE4" t="s">
        <v>59</v>
      </c>
      <c r="AH4" s="1" t="s">
        <v>59</v>
      </c>
      <c r="AK4" t="s">
        <v>124</v>
      </c>
      <c r="AN4" s="1" t="s">
        <v>261</v>
      </c>
      <c r="AO4">
        <v>0</v>
      </c>
      <c r="AR4" t="s">
        <v>35</v>
      </c>
      <c r="AU4">
        <v>1</v>
      </c>
      <c r="AV4" s="43">
        <v>13.86</v>
      </c>
      <c r="AX4">
        <v>2</v>
      </c>
      <c r="AY4" s="43">
        <v>23.68</v>
      </c>
      <c r="BA4" t="s">
        <v>35</v>
      </c>
      <c r="BD4" s="1" t="s">
        <v>256</v>
      </c>
      <c r="BE4" s="64">
        <v>0</v>
      </c>
      <c r="BF4" s="16">
        <v>0</v>
      </c>
      <c r="BG4" t="s">
        <v>146</v>
      </c>
      <c r="BH4" s="43">
        <v>2.89</v>
      </c>
      <c r="BI4" s="126" t="s">
        <v>319</v>
      </c>
      <c r="BK4" s="126" t="s">
        <v>337</v>
      </c>
    </row>
    <row r="5" spans="1:64" x14ac:dyDescent="0.2">
      <c r="A5" s="9" t="s">
        <v>69</v>
      </c>
      <c r="B5">
        <v>0</v>
      </c>
      <c r="C5">
        <v>0</v>
      </c>
      <c r="I5" s="137" t="s">
        <v>281</v>
      </c>
      <c r="S5" t="s">
        <v>153</v>
      </c>
      <c r="T5" s="63">
        <v>0.15</v>
      </c>
      <c r="V5" s="137" t="s">
        <v>288</v>
      </c>
      <c r="Y5" s="137" t="s">
        <v>294</v>
      </c>
      <c r="AB5" t="s">
        <v>41</v>
      </c>
      <c r="AK5" t="s">
        <v>140</v>
      </c>
      <c r="AN5" s="1" t="s">
        <v>263</v>
      </c>
      <c r="AO5" s="14">
        <v>0.1</v>
      </c>
      <c r="AR5" s="3" t="s">
        <v>249</v>
      </c>
      <c r="AU5">
        <v>2</v>
      </c>
      <c r="AV5" s="43">
        <f>$AV$4*AU5</f>
        <v>27.72</v>
      </c>
      <c r="AX5">
        <v>3</v>
      </c>
      <c r="AY5" s="43">
        <v>23.68</v>
      </c>
      <c r="BD5" s="1" t="s">
        <v>255</v>
      </c>
      <c r="BE5" s="63">
        <v>-0.1</v>
      </c>
      <c r="BF5" s="16">
        <v>0</v>
      </c>
      <c r="BG5" t="s">
        <v>147</v>
      </c>
      <c r="BH5" s="43">
        <v>2.89</v>
      </c>
      <c r="BI5" s="126" t="s">
        <v>318</v>
      </c>
      <c r="BK5" s="126" t="s">
        <v>338</v>
      </c>
    </row>
    <row r="6" spans="1:64" x14ac:dyDescent="0.2">
      <c r="A6" s="9" t="s">
        <v>331</v>
      </c>
      <c r="B6">
        <v>0</v>
      </c>
      <c r="C6">
        <v>0</v>
      </c>
      <c r="I6" s="137" t="s">
        <v>282</v>
      </c>
      <c r="V6" s="137" t="s">
        <v>289</v>
      </c>
      <c r="Y6" s="137" t="s">
        <v>295</v>
      </c>
      <c r="AB6" t="s">
        <v>42</v>
      </c>
      <c r="AK6" t="s">
        <v>141</v>
      </c>
      <c r="AN6" s="1" t="s">
        <v>265</v>
      </c>
      <c r="AO6" s="14">
        <v>0.1</v>
      </c>
      <c r="AR6" s="1" t="s">
        <v>240</v>
      </c>
      <c r="AU6">
        <v>3</v>
      </c>
      <c r="AV6" s="43">
        <f t="shared" ref="AV6:AV7" si="0">$AV$4*AU6</f>
        <v>41.58</v>
      </c>
      <c r="BD6" s="1" t="s">
        <v>257</v>
      </c>
      <c r="BE6" s="63">
        <v>-0.1</v>
      </c>
      <c r="BF6" s="16">
        <v>0</v>
      </c>
      <c r="BG6" t="s">
        <v>148</v>
      </c>
      <c r="BH6" s="43">
        <v>2.89</v>
      </c>
      <c r="BI6" s="126" t="s">
        <v>326</v>
      </c>
    </row>
    <row r="7" spans="1:64" x14ac:dyDescent="0.2">
      <c r="A7" s="9" t="s">
        <v>70</v>
      </c>
      <c r="B7">
        <v>0</v>
      </c>
      <c r="C7">
        <v>0</v>
      </c>
      <c r="I7" s="137" t="s">
        <v>283</v>
      </c>
      <c r="V7" s="137" t="s">
        <v>290</v>
      </c>
      <c r="Y7" s="137" t="s">
        <v>296</v>
      </c>
      <c r="AB7" t="s">
        <v>43</v>
      </c>
      <c r="AN7" s="1" t="s">
        <v>264</v>
      </c>
      <c r="AO7" s="14">
        <v>0.1</v>
      </c>
      <c r="AR7" s="1" t="s">
        <v>242</v>
      </c>
      <c r="AU7">
        <v>4</v>
      </c>
      <c r="AV7" s="43">
        <f t="shared" si="0"/>
        <v>55.44</v>
      </c>
      <c r="BD7" t="s">
        <v>80</v>
      </c>
      <c r="BE7" s="23"/>
      <c r="BF7" s="16">
        <v>0</v>
      </c>
      <c r="BI7" s="126" t="s">
        <v>327</v>
      </c>
    </row>
    <row r="8" spans="1:64" x14ac:dyDescent="0.2">
      <c r="A8" s="9" t="s">
        <v>339</v>
      </c>
      <c r="B8">
        <v>0</v>
      </c>
      <c r="C8">
        <v>0</v>
      </c>
      <c r="I8" s="137" t="s">
        <v>284</v>
      </c>
      <c r="V8" s="137" t="s">
        <v>291</v>
      </c>
      <c r="Y8" s="137" t="s">
        <v>297</v>
      </c>
      <c r="AB8" t="s">
        <v>44</v>
      </c>
      <c r="AN8" s="1" t="s">
        <v>262</v>
      </c>
      <c r="AO8" s="14">
        <v>0.1</v>
      </c>
      <c r="AR8" s="1" t="s">
        <v>241</v>
      </c>
      <c r="BI8" s="126" t="s">
        <v>324</v>
      </c>
    </row>
    <row r="9" spans="1:64" x14ac:dyDescent="0.2">
      <c r="A9" s="9" t="s">
        <v>340</v>
      </c>
      <c r="B9">
        <v>0</v>
      </c>
      <c r="C9">
        <v>0</v>
      </c>
      <c r="I9" s="137" t="s">
        <v>285</v>
      </c>
      <c r="V9" s="137" t="s">
        <v>292</v>
      </c>
      <c r="Y9" s="137" t="s">
        <v>298</v>
      </c>
      <c r="AB9" t="s">
        <v>45</v>
      </c>
      <c r="AN9" s="1"/>
      <c r="AO9" s="1"/>
      <c r="AR9" s="3" t="s">
        <v>243</v>
      </c>
      <c r="BI9" s="126" t="s">
        <v>320</v>
      </c>
    </row>
    <row r="10" spans="1:64" x14ac:dyDescent="0.2">
      <c r="A10" s="9" t="s">
        <v>250</v>
      </c>
      <c r="B10">
        <v>0</v>
      </c>
      <c r="C10">
        <v>0</v>
      </c>
      <c r="V10" s="137" t="s">
        <v>293</v>
      </c>
      <c r="Y10" s="137" t="s">
        <v>299</v>
      </c>
      <c r="AB10" t="s">
        <v>46</v>
      </c>
      <c r="AN10" s="1"/>
      <c r="AO10" s="1"/>
      <c r="AR10" s="1" t="s">
        <v>240</v>
      </c>
      <c r="BI10" s="126" t="s">
        <v>321</v>
      </c>
    </row>
    <row r="11" spans="1:64" x14ac:dyDescent="0.2">
      <c r="A11" s="9" t="s">
        <v>332</v>
      </c>
      <c r="B11">
        <v>0</v>
      </c>
      <c r="C11">
        <v>0</v>
      </c>
      <c r="Y11" s="137" t="s">
        <v>300</v>
      </c>
      <c r="AB11" t="s">
        <v>47</v>
      </c>
      <c r="AR11" s="1" t="s">
        <v>244</v>
      </c>
      <c r="BI11" s="126" t="s">
        <v>325</v>
      </c>
    </row>
    <row r="12" spans="1:64" x14ac:dyDescent="0.2">
      <c r="A12" s="9" t="s">
        <v>251</v>
      </c>
      <c r="B12">
        <v>0</v>
      </c>
      <c r="C12">
        <v>0</v>
      </c>
      <c r="V12" t="s">
        <v>187</v>
      </c>
      <c r="Y12" s="137" t="s">
        <v>301</v>
      </c>
      <c r="AB12" t="s">
        <v>48</v>
      </c>
      <c r="AR12" s="1" t="s">
        <v>241</v>
      </c>
      <c r="BI12" s="126" t="s">
        <v>323</v>
      </c>
    </row>
    <row r="13" spans="1:64" x14ac:dyDescent="0.2">
      <c r="A13" s="9" t="s">
        <v>134</v>
      </c>
      <c r="B13">
        <v>0</v>
      </c>
      <c r="C13">
        <v>0</v>
      </c>
      <c r="V13" t="s">
        <v>93</v>
      </c>
      <c r="Y13" s="137" t="s">
        <v>302</v>
      </c>
      <c r="AB13" t="s">
        <v>49</v>
      </c>
      <c r="BI13" s="126" t="s">
        <v>322</v>
      </c>
    </row>
    <row r="14" spans="1:64" x14ac:dyDescent="0.2">
      <c r="A14" s="9" t="s">
        <v>71</v>
      </c>
      <c r="B14">
        <v>0</v>
      </c>
      <c r="C14">
        <v>0</v>
      </c>
      <c r="V14" t="s">
        <v>37</v>
      </c>
      <c r="Y14" s="137" t="s">
        <v>303</v>
      </c>
      <c r="AB14" t="s">
        <v>50</v>
      </c>
    </row>
    <row r="15" spans="1:64" x14ac:dyDescent="0.2">
      <c r="A15" s="9" t="s">
        <v>94</v>
      </c>
      <c r="B15">
        <v>0</v>
      </c>
      <c r="C15">
        <v>0</v>
      </c>
      <c r="V15" t="s">
        <v>38</v>
      </c>
      <c r="Y15" s="137" t="s">
        <v>304</v>
      </c>
      <c r="AB15" t="s">
        <v>51</v>
      </c>
    </row>
    <row r="16" spans="1:64" x14ac:dyDescent="0.2">
      <c r="A16" s="9" t="s">
        <v>252</v>
      </c>
      <c r="B16">
        <v>0</v>
      </c>
      <c r="C16">
        <v>0</v>
      </c>
      <c r="V16" t="s">
        <v>39</v>
      </c>
      <c r="Y16" s="137" t="s">
        <v>305</v>
      </c>
      <c r="AB16" t="s">
        <v>52</v>
      </c>
    </row>
    <row r="17" spans="1:28" x14ac:dyDescent="0.2">
      <c r="A17" s="9" t="s">
        <v>333</v>
      </c>
      <c r="B17">
        <v>0</v>
      </c>
      <c r="C17">
        <v>0</v>
      </c>
      <c r="V17" t="s">
        <v>188</v>
      </c>
      <c r="Y17" s="137" t="s">
        <v>306</v>
      </c>
      <c r="AB17" t="s">
        <v>53</v>
      </c>
    </row>
    <row r="18" spans="1:28" x14ac:dyDescent="0.2">
      <c r="A18" s="9" t="s">
        <v>72</v>
      </c>
      <c r="B18">
        <v>0</v>
      </c>
      <c r="C18">
        <v>0</v>
      </c>
      <c r="Q18" t="s">
        <v>126</v>
      </c>
      <c r="V18" t="s">
        <v>189</v>
      </c>
      <c r="Y18" s="137" t="s">
        <v>307</v>
      </c>
      <c r="AB18" t="s">
        <v>54</v>
      </c>
    </row>
    <row r="19" spans="1:28" x14ac:dyDescent="0.2">
      <c r="A19" s="9" t="s">
        <v>73</v>
      </c>
      <c r="B19">
        <v>0</v>
      </c>
      <c r="C19">
        <v>0</v>
      </c>
      <c r="V19" t="s">
        <v>190</v>
      </c>
      <c r="Y19" s="137" t="s">
        <v>308</v>
      </c>
      <c r="AB19" t="s">
        <v>55</v>
      </c>
    </row>
    <row r="20" spans="1:28" x14ac:dyDescent="0.2">
      <c r="A20" s="9" t="s">
        <v>74</v>
      </c>
      <c r="B20">
        <v>0</v>
      </c>
      <c r="C20">
        <v>0</v>
      </c>
      <c r="V20" t="s">
        <v>191</v>
      </c>
      <c r="Y20" s="137" t="s">
        <v>309</v>
      </c>
      <c r="AB20" t="s">
        <v>56</v>
      </c>
    </row>
    <row r="21" spans="1:28" x14ac:dyDescent="0.2">
      <c r="A21" s="9" t="s">
        <v>253</v>
      </c>
      <c r="B21">
        <v>0</v>
      </c>
      <c r="C21">
        <v>0</v>
      </c>
      <c r="V21" t="s">
        <v>192</v>
      </c>
      <c r="Y21" s="137" t="s">
        <v>310</v>
      </c>
      <c r="AB21" t="s">
        <v>57</v>
      </c>
    </row>
    <row r="22" spans="1:28" x14ac:dyDescent="0.2">
      <c r="A22" s="9" t="s">
        <v>75</v>
      </c>
      <c r="B22">
        <v>0</v>
      </c>
      <c r="C22">
        <v>0</v>
      </c>
      <c r="V22" t="s">
        <v>193</v>
      </c>
      <c r="Y22" s="137" t="s">
        <v>311</v>
      </c>
    </row>
    <row r="23" spans="1:28" x14ac:dyDescent="0.2">
      <c r="A23" s="9" t="s">
        <v>76</v>
      </c>
      <c r="B23">
        <v>0</v>
      </c>
      <c r="C23">
        <v>0</v>
      </c>
      <c r="V23" t="s">
        <v>194</v>
      </c>
      <c r="Y23" s="137" t="s">
        <v>312</v>
      </c>
    </row>
    <row r="24" spans="1:28" x14ac:dyDescent="0.2">
      <c r="A24" s="9" t="s">
        <v>96</v>
      </c>
      <c r="B24">
        <v>0</v>
      </c>
      <c r="C24">
        <v>0</v>
      </c>
      <c r="V24" t="s">
        <v>195</v>
      </c>
    </row>
    <row r="25" spans="1:28" x14ac:dyDescent="0.2">
      <c r="A25" s="9" t="s">
        <v>97</v>
      </c>
      <c r="B25">
        <v>0</v>
      </c>
      <c r="C25">
        <v>0</v>
      </c>
      <c r="V25" t="s">
        <v>196</v>
      </c>
    </row>
    <row r="26" spans="1:28" x14ac:dyDescent="0.2">
      <c r="A26" s="9" t="s">
        <v>98</v>
      </c>
      <c r="B26">
        <v>0</v>
      </c>
      <c r="C26">
        <v>0</v>
      </c>
      <c r="V26" t="s">
        <v>150</v>
      </c>
    </row>
    <row r="27" spans="1:28" x14ac:dyDescent="0.2">
      <c r="A27" s="9" t="s">
        <v>127</v>
      </c>
      <c r="B27">
        <v>0</v>
      </c>
      <c r="C27">
        <v>0</v>
      </c>
      <c r="V27" t="s">
        <v>151</v>
      </c>
    </row>
    <row r="28" spans="1:28" x14ac:dyDescent="0.2">
      <c r="A28" s="9" t="s">
        <v>254</v>
      </c>
      <c r="B28">
        <v>0</v>
      </c>
      <c r="C28">
        <v>57.75</v>
      </c>
    </row>
    <row r="29" spans="1:28" x14ac:dyDescent="0.2">
      <c r="A29" s="9" t="s">
        <v>139</v>
      </c>
      <c r="B29">
        <v>0</v>
      </c>
      <c r="C29">
        <v>0</v>
      </c>
      <c r="S29" s="1" t="s">
        <v>93</v>
      </c>
    </row>
    <row r="30" spans="1:28" x14ac:dyDescent="0.2">
      <c r="A30" s="9"/>
    </row>
    <row r="31" spans="1:28" x14ac:dyDescent="0.2">
      <c r="A31" s="9"/>
    </row>
    <row r="32" spans="1:28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1"/>
    </row>
    <row r="82" spans="1:1" x14ac:dyDescent="0.2">
      <c r="A82" s="1"/>
    </row>
  </sheetData>
  <sheetProtection algorithmName="SHA-512" hashValue="CA3p3mKHJ6PItamBRaTEl9IA0j3oRl4tjr7Q34aYprgwYlX93iUSarR4FV9BotiXxKPMr4/SANHAXJOH9d6vyg==" saltValue="Prf46ullaZDoda5Gogv9nw==" spinCount="100000" sheet="1" objects="1" scenarios="1"/>
  <sortState xmlns:xlrd2="http://schemas.microsoft.com/office/spreadsheetml/2017/richdata2" ref="BF4:BF13">
    <sortCondition ref="BF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Y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7" width="9.140625" hidden="1" customWidth="1"/>
    <col min="78" max="78" width="0" hidden="1" customWidth="1"/>
  </cols>
  <sheetData>
    <row r="2" spans="1:21" x14ac:dyDescent="0.2">
      <c r="G2" s="128" t="s">
        <v>270</v>
      </c>
      <c r="H2" s="53"/>
      <c r="I2">
        <v>66.91</v>
      </c>
    </row>
    <row r="3" spans="1:21" s="53" customFormat="1" x14ac:dyDescent="0.2">
      <c r="A3" s="109"/>
      <c r="B3" s="110"/>
      <c r="C3" s="110"/>
      <c r="G3" s="127" t="s">
        <v>271</v>
      </c>
    </row>
    <row r="4" spans="1:21" s="53" customFormat="1" x14ac:dyDescent="0.2">
      <c r="A4" s="109"/>
      <c r="B4" s="110"/>
      <c r="C4" s="110"/>
      <c r="D4" s="50"/>
      <c r="G4" s="53" t="s">
        <v>272</v>
      </c>
      <c r="H4"/>
      <c r="I4" s="129"/>
    </row>
    <row r="5" spans="1:21" s="53" customFormat="1" x14ac:dyDescent="0.2"/>
    <row r="6" spans="1:21" s="53" customFormat="1" x14ac:dyDescent="0.2"/>
    <row r="7" spans="1:21" s="53" customFormat="1" x14ac:dyDescent="0.2">
      <c r="A7" s="111" t="s">
        <v>227</v>
      </c>
      <c r="D7" s="263" t="s">
        <v>203</v>
      </c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spans="1:21" s="53" customFormat="1" x14ac:dyDescent="0.2">
      <c r="D8" s="110"/>
      <c r="E8" s="110"/>
      <c r="F8" s="110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264"/>
      <c r="R8" s="265"/>
      <c r="S8" s="265"/>
      <c r="T8" s="265"/>
      <c r="U8" s="265"/>
    </row>
    <row r="9" spans="1:21" s="53" customFormat="1" x14ac:dyDescent="0.2">
      <c r="D9" s="110">
        <v>610</v>
      </c>
      <c r="E9" s="110">
        <v>762</v>
      </c>
      <c r="F9" s="110">
        <v>914</v>
      </c>
      <c r="G9" s="110">
        <v>1067</v>
      </c>
      <c r="H9" s="110">
        <v>1219</v>
      </c>
      <c r="I9" s="110">
        <v>1372</v>
      </c>
      <c r="J9" s="110">
        <v>1524</v>
      </c>
      <c r="K9" s="110">
        <v>1676</v>
      </c>
      <c r="L9" s="110">
        <v>1829</v>
      </c>
      <c r="M9" s="110">
        <v>1981</v>
      </c>
      <c r="N9" s="110">
        <v>2134</v>
      </c>
      <c r="O9" s="110">
        <v>2286</v>
      </c>
      <c r="P9" s="110">
        <v>2438</v>
      </c>
      <c r="Q9" s="110">
        <v>2450</v>
      </c>
      <c r="R9" s="110">
        <v>2596</v>
      </c>
      <c r="S9" s="110">
        <v>2747</v>
      </c>
      <c r="T9" s="110">
        <v>2898</v>
      </c>
      <c r="U9" s="110">
        <v>3048</v>
      </c>
    </row>
    <row r="10" spans="1:21" s="53" customFormat="1" x14ac:dyDescent="0.2">
      <c r="D10" s="110" t="s">
        <v>204</v>
      </c>
      <c r="E10" s="110" t="s">
        <v>205</v>
      </c>
      <c r="F10" s="110" t="s">
        <v>206</v>
      </c>
      <c r="G10" s="110" t="s">
        <v>207</v>
      </c>
      <c r="H10" s="110" t="s">
        <v>208</v>
      </c>
      <c r="I10" s="110" t="s">
        <v>209</v>
      </c>
      <c r="J10" s="110" t="s">
        <v>210</v>
      </c>
      <c r="K10" s="110" t="s">
        <v>211</v>
      </c>
      <c r="L10" s="110" t="s">
        <v>212</v>
      </c>
      <c r="M10" s="110" t="s">
        <v>213</v>
      </c>
      <c r="N10" s="110" t="s">
        <v>214</v>
      </c>
      <c r="O10" s="110" t="s">
        <v>215</v>
      </c>
      <c r="P10" s="110" t="s">
        <v>216</v>
      </c>
      <c r="Q10" s="110" t="s">
        <v>217</v>
      </c>
      <c r="R10" s="110" t="s">
        <v>218</v>
      </c>
      <c r="S10" s="110" t="s">
        <v>219</v>
      </c>
      <c r="T10" s="110" t="s">
        <v>220</v>
      </c>
      <c r="U10" s="110" t="s">
        <v>221</v>
      </c>
    </row>
    <row r="11" spans="1:21" s="53" customFormat="1" x14ac:dyDescent="0.2">
      <c r="A11" s="261" t="s">
        <v>222</v>
      </c>
      <c r="B11" s="110">
        <v>610</v>
      </c>
      <c r="C11" s="110" t="s">
        <v>204</v>
      </c>
      <c r="D11" s="130">
        <v>66.91</v>
      </c>
      <c r="E11" s="130">
        <v>66.91</v>
      </c>
      <c r="F11" s="130">
        <v>66.91</v>
      </c>
      <c r="G11" s="130">
        <v>66.91</v>
      </c>
      <c r="H11" s="130">
        <v>66.91</v>
      </c>
      <c r="I11" s="53">
        <v>67.78</v>
      </c>
      <c r="J11" s="53">
        <v>75.290000000000006</v>
      </c>
      <c r="K11" s="53">
        <v>82.8</v>
      </c>
      <c r="L11" s="53">
        <v>90.36</v>
      </c>
      <c r="M11" s="53">
        <v>97.86</v>
      </c>
      <c r="N11" s="53">
        <v>105.43</v>
      </c>
      <c r="O11" s="53">
        <v>112.94</v>
      </c>
      <c r="P11" s="53">
        <v>120.44</v>
      </c>
      <c r="Q11" s="53">
        <v>121.03</v>
      </c>
      <c r="R11" s="53">
        <v>128.25</v>
      </c>
      <c r="S11" s="53">
        <v>135.71</v>
      </c>
      <c r="T11" s="53">
        <v>143.16999999999999</v>
      </c>
      <c r="U11" s="53">
        <v>150.58000000000001</v>
      </c>
    </row>
    <row r="12" spans="1:21" s="53" customFormat="1" x14ac:dyDescent="0.2">
      <c r="A12" s="261"/>
      <c r="B12" s="110">
        <v>762</v>
      </c>
      <c r="C12" s="110" t="s">
        <v>205</v>
      </c>
      <c r="D12" s="130">
        <v>66.91</v>
      </c>
      <c r="E12" s="130">
        <v>66.91</v>
      </c>
      <c r="F12" s="130">
        <v>66.91</v>
      </c>
      <c r="G12" s="130">
        <v>66.91</v>
      </c>
      <c r="H12" s="53">
        <v>75.23</v>
      </c>
      <c r="I12" s="53">
        <v>84.67</v>
      </c>
      <c r="J12" s="53">
        <v>94.05</v>
      </c>
      <c r="K12" s="53">
        <v>103.43</v>
      </c>
      <c r="L12" s="53">
        <v>112.88</v>
      </c>
      <c r="M12" s="53">
        <v>122.26</v>
      </c>
      <c r="N12" s="53">
        <v>131.69</v>
      </c>
      <c r="O12" s="53">
        <v>141.07</v>
      </c>
      <c r="P12" s="53">
        <v>150.44999999999999</v>
      </c>
      <c r="Q12" s="53">
        <v>151.19999999999999</v>
      </c>
      <c r="R12" s="53">
        <v>160.21</v>
      </c>
      <c r="S12" s="53">
        <v>169.53</v>
      </c>
      <c r="T12" s="53">
        <v>178.84</v>
      </c>
      <c r="U12" s="127">
        <v>180</v>
      </c>
    </row>
    <row r="13" spans="1:21" s="53" customFormat="1" x14ac:dyDescent="0.2">
      <c r="A13" s="261"/>
      <c r="B13" s="110">
        <v>914</v>
      </c>
      <c r="C13" s="110" t="s">
        <v>206</v>
      </c>
      <c r="D13" s="130">
        <v>66.91</v>
      </c>
      <c r="E13" s="130">
        <v>66.91</v>
      </c>
      <c r="F13" s="53">
        <v>67.66</v>
      </c>
      <c r="G13" s="53">
        <v>75.58</v>
      </c>
      <c r="H13" s="53">
        <v>90.23</v>
      </c>
      <c r="I13" s="53">
        <v>101.56</v>
      </c>
      <c r="J13" s="53">
        <v>112.81</v>
      </c>
      <c r="K13" s="53">
        <v>124.06</v>
      </c>
      <c r="L13" s="53">
        <v>135.38999999999999</v>
      </c>
      <c r="M13" s="53">
        <v>146.63999999999999</v>
      </c>
      <c r="N13" s="53">
        <v>157.97</v>
      </c>
      <c r="O13" s="53">
        <v>169.22</v>
      </c>
      <c r="P13" s="127">
        <v>172.69</v>
      </c>
      <c r="Q13" s="127">
        <v>173.55</v>
      </c>
      <c r="R13" s="127">
        <v>183.89</v>
      </c>
      <c r="S13" s="127">
        <v>194.58</v>
      </c>
      <c r="T13" s="127">
        <v>205.28</v>
      </c>
      <c r="U13" s="127">
        <v>215.9</v>
      </c>
    </row>
    <row r="14" spans="1:21" s="53" customFormat="1" x14ac:dyDescent="0.2">
      <c r="A14" s="261"/>
      <c r="B14" s="110">
        <v>1067</v>
      </c>
      <c r="C14" s="110" t="s">
        <v>207</v>
      </c>
      <c r="D14" s="130">
        <v>66.91</v>
      </c>
      <c r="E14" s="130">
        <v>66.91</v>
      </c>
      <c r="F14" s="53">
        <v>78.98</v>
      </c>
      <c r="G14" s="53">
        <v>88.23</v>
      </c>
      <c r="H14" s="53">
        <v>105.34</v>
      </c>
      <c r="I14" s="53">
        <v>118.56</v>
      </c>
      <c r="J14" s="53">
        <v>131.69</v>
      </c>
      <c r="K14" s="53">
        <v>144.83000000000001</v>
      </c>
      <c r="L14" s="53">
        <v>158.05000000000001</v>
      </c>
      <c r="M14" s="53">
        <v>171.18</v>
      </c>
      <c r="N14" s="127">
        <v>176.47</v>
      </c>
      <c r="O14" s="127">
        <v>189.04</v>
      </c>
      <c r="P14" s="127">
        <v>201.61</v>
      </c>
      <c r="Q14" s="127">
        <v>202.6</v>
      </c>
      <c r="R14" s="127">
        <v>214.67</v>
      </c>
      <c r="S14" s="127">
        <v>227.15</v>
      </c>
      <c r="T14" s="127">
        <v>239.64</v>
      </c>
      <c r="U14" s="127">
        <v>252.04</v>
      </c>
    </row>
    <row r="15" spans="1:21" s="53" customFormat="1" x14ac:dyDescent="0.2">
      <c r="A15" s="261"/>
      <c r="B15" s="110">
        <v>1219</v>
      </c>
      <c r="C15" s="110" t="s">
        <v>208</v>
      </c>
      <c r="D15" s="130">
        <v>66.91</v>
      </c>
      <c r="E15" s="53">
        <v>75.23</v>
      </c>
      <c r="F15" s="53">
        <v>90.23</v>
      </c>
      <c r="G15" s="53">
        <v>100.81</v>
      </c>
      <c r="H15" s="53">
        <v>120.34</v>
      </c>
      <c r="I15" s="53">
        <v>135.44999999999999</v>
      </c>
      <c r="J15" s="53">
        <v>150.44999999999999</v>
      </c>
      <c r="K15" s="53">
        <v>165.47</v>
      </c>
      <c r="L15" s="53">
        <v>180.57</v>
      </c>
      <c r="M15" s="127">
        <v>187.16</v>
      </c>
      <c r="N15" s="127">
        <v>201.61</v>
      </c>
      <c r="O15" s="127">
        <v>215.96</v>
      </c>
      <c r="P15" s="127">
        <v>230.33</v>
      </c>
      <c r="Q15" s="127">
        <v>231.46</v>
      </c>
      <c r="R15" s="127">
        <v>245.25</v>
      </c>
      <c r="S15" s="127">
        <v>259.52</v>
      </c>
      <c r="T15" s="127">
        <v>273.77999999999997</v>
      </c>
      <c r="U15" s="127">
        <v>287.95</v>
      </c>
    </row>
    <row r="16" spans="1:21" s="53" customFormat="1" x14ac:dyDescent="0.2">
      <c r="A16" s="261"/>
      <c r="B16" s="110">
        <v>1372</v>
      </c>
      <c r="C16" s="110" t="s">
        <v>209</v>
      </c>
      <c r="D16" s="53">
        <v>67.78</v>
      </c>
      <c r="E16" s="53">
        <v>84.67</v>
      </c>
      <c r="F16" s="53">
        <v>101.56</v>
      </c>
      <c r="G16" s="53">
        <v>113.46</v>
      </c>
      <c r="H16" s="53">
        <v>135.44999999999999</v>
      </c>
      <c r="I16" s="53">
        <v>152.44999999999999</v>
      </c>
      <c r="J16" s="53">
        <v>169.33</v>
      </c>
      <c r="K16" s="127">
        <v>178.2</v>
      </c>
      <c r="L16" s="127">
        <v>194.48</v>
      </c>
      <c r="M16" s="127">
        <v>210.64</v>
      </c>
      <c r="N16" s="127">
        <v>226.91</v>
      </c>
      <c r="O16" s="127">
        <v>243.07</v>
      </c>
      <c r="P16" s="127">
        <v>259.24</v>
      </c>
      <c r="Q16" s="127">
        <v>260.51</v>
      </c>
      <c r="R16" s="127">
        <v>276.02999999999997</v>
      </c>
      <c r="S16" s="127">
        <v>292.08999999999997</v>
      </c>
      <c r="T16" s="127">
        <v>308.14</v>
      </c>
      <c r="U16" s="127">
        <v>324.08999999999997</v>
      </c>
    </row>
    <row r="17" spans="1:40" s="53" customFormat="1" x14ac:dyDescent="0.2">
      <c r="A17" s="261"/>
      <c r="B17" s="110">
        <v>1524</v>
      </c>
      <c r="C17" s="110" t="s">
        <v>210</v>
      </c>
      <c r="D17" s="53">
        <v>75.290000000000006</v>
      </c>
      <c r="E17" s="53">
        <v>94.05</v>
      </c>
      <c r="F17" s="53">
        <v>112.81</v>
      </c>
      <c r="G17" s="53">
        <v>126.02</v>
      </c>
      <c r="H17" s="53">
        <v>150.44999999999999</v>
      </c>
      <c r="I17" s="53">
        <v>169.33</v>
      </c>
      <c r="J17" s="127">
        <v>180</v>
      </c>
      <c r="K17" s="127">
        <v>197.96</v>
      </c>
      <c r="L17" s="127">
        <v>216.02</v>
      </c>
      <c r="M17" s="127">
        <v>233.98</v>
      </c>
      <c r="N17" s="127">
        <v>252.04</v>
      </c>
      <c r="O17" s="127">
        <v>270</v>
      </c>
      <c r="P17" s="127">
        <v>287.95</v>
      </c>
      <c r="Q17" s="127">
        <v>289.37</v>
      </c>
      <c r="R17" s="127">
        <v>306.62</v>
      </c>
      <c r="S17" s="127">
        <v>324.45</v>
      </c>
      <c r="T17" s="127">
        <v>342.28</v>
      </c>
      <c r="U17" s="127">
        <v>360</v>
      </c>
    </row>
    <row r="18" spans="1:40" s="53" customFormat="1" x14ac:dyDescent="0.2">
      <c r="A18" s="261"/>
      <c r="B18" s="110">
        <v>1676</v>
      </c>
      <c r="C18" s="110" t="s">
        <v>211</v>
      </c>
      <c r="D18" s="53">
        <v>82.8</v>
      </c>
      <c r="E18" s="53">
        <v>103.43</v>
      </c>
      <c r="F18" s="53">
        <v>124.06</v>
      </c>
      <c r="G18" s="53">
        <v>138.59</v>
      </c>
      <c r="H18" s="53">
        <v>165.47</v>
      </c>
      <c r="I18" s="127">
        <v>178.2</v>
      </c>
      <c r="J18" s="127">
        <v>197.96</v>
      </c>
      <c r="K18" s="127">
        <v>217.69</v>
      </c>
      <c r="L18" s="127">
        <v>237.57</v>
      </c>
      <c r="M18" s="127">
        <v>257.31</v>
      </c>
      <c r="N18" s="127">
        <v>277.19</v>
      </c>
      <c r="O18" s="127">
        <v>296.93</v>
      </c>
      <c r="P18" s="127">
        <v>316.68</v>
      </c>
      <c r="Q18" s="127">
        <v>318.24</v>
      </c>
      <c r="R18" s="127">
        <v>337.2</v>
      </c>
      <c r="S18" s="127">
        <v>356.81</v>
      </c>
      <c r="T18" s="127">
        <v>376.43</v>
      </c>
      <c r="U18" s="127">
        <v>395.91</v>
      </c>
    </row>
    <row r="19" spans="1:40" s="53" customFormat="1" x14ac:dyDescent="0.2">
      <c r="A19" s="261"/>
      <c r="B19" s="110">
        <v>1829</v>
      </c>
      <c r="C19" s="110" t="s">
        <v>212</v>
      </c>
      <c r="D19" s="53">
        <v>90.36</v>
      </c>
      <c r="E19" s="53">
        <v>112.88</v>
      </c>
      <c r="F19" s="53">
        <v>135.38999999999999</v>
      </c>
      <c r="G19" s="53">
        <v>151.25</v>
      </c>
      <c r="H19" s="53">
        <v>180.57</v>
      </c>
      <c r="I19" s="127">
        <v>194.48</v>
      </c>
      <c r="J19" s="127">
        <v>216.02</v>
      </c>
      <c r="K19" s="127">
        <v>237.57</v>
      </c>
      <c r="L19" s="127">
        <v>259.26</v>
      </c>
      <c r="M19" s="127">
        <v>280.8</v>
      </c>
      <c r="N19" s="127">
        <v>302.49</v>
      </c>
      <c r="O19" s="127">
        <v>324.04000000000002</v>
      </c>
      <c r="P19" s="127">
        <v>345.59</v>
      </c>
      <c r="Q19" s="127">
        <v>347.29</v>
      </c>
      <c r="R19" s="127">
        <v>367.98</v>
      </c>
      <c r="S19" s="127">
        <v>389.39</v>
      </c>
      <c r="T19" s="127">
        <v>410.79</v>
      </c>
      <c r="U19" s="127">
        <v>432.05</v>
      </c>
    </row>
    <row r="20" spans="1:40" s="53" customFormat="1" x14ac:dyDescent="0.2">
      <c r="A20" s="261"/>
      <c r="B20" s="110">
        <v>1981</v>
      </c>
      <c r="C20" s="110" t="s">
        <v>213</v>
      </c>
      <c r="D20" s="53">
        <v>97.86</v>
      </c>
      <c r="E20" s="53">
        <v>122.26</v>
      </c>
      <c r="F20" s="53">
        <v>146.63999999999999</v>
      </c>
      <c r="G20" s="53">
        <v>163.81</v>
      </c>
      <c r="H20" s="127">
        <v>187.16</v>
      </c>
      <c r="I20" s="127">
        <v>210.64</v>
      </c>
      <c r="J20" s="127">
        <v>233.98</v>
      </c>
      <c r="K20" s="127">
        <v>257.31</v>
      </c>
      <c r="L20" s="127">
        <v>280.8</v>
      </c>
      <c r="M20" s="127">
        <v>304.13</v>
      </c>
      <c r="N20" s="127">
        <v>327.63</v>
      </c>
      <c r="O20" s="127">
        <v>350.97</v>
      </c>
      <c r="P20" s="127">
        <v>374.3</v>
      </c>
      <c r="Q20" s="127">
        <v>376.15</v>
      </c>
      <c r="R20" s="127">
        <v>398.56</v>
      </c>
      <c r="S20" s="127">
        <v>421.75</v>
      </c>
      <c r="T20" s="127">
        <v>444.93</v>
      </c>
      <c r="U20" s="127">
        <v>467.96</v>
      </c>
    </row>
    <row r="21" spans="1:40" s="53" customFormat="1" x14ac:dyDescent="0.2">
      <c r="A21" s="261"/>
      <c r="B21" s="110">
        <v>2134</v>
      </c>
      <c r="C21" s="110" t="s">
        <v>214</v>
      </c>
      <c r="D21" s="53">
        <v>105.43</v>
      </c>
      <c r="E21" s="53">
        <v>131.69</v>
      </c>
      <c r="F21" s="53">
        <v>157.97</v>
      </c>
      <c r="G21" s="127">
        <v>176.47</v>
      </c>
      <c r="H21" s="127">
        <v>201.61</v>
      </c>
      <c r="I21" s="127">
        <v>226.91</v>
      </c>
      <c r="J21" s="127">
        <v>252.04</v>
      </c>
      <c r="K21" s="127">
        <v>277.19</v>
      </c>
      <c r="L21" s="127">
        <v>302.49</v>
      </c>
      <c r="M21" s="127">
        <v>327.63</v>
      </c>
      <c r="N21" s="127">
        <v>352.93</v>
      </c>
      <c r="O21" s="127">
        <v>378.08</v>
      </c>
      <c r="P21" s="127">
        <v>403.21</v>
      </c>
      <c r="Q21" s="127">
        <v>405.2</v>
      </c>
      <c r="R21" s="127">
        <v>429.34</v>
      </c>
      <c r="S21" s="127">
        <v>454.32</v>
      </c>
      <c r="T21" s="127">
        <v>479.29</v>
      </c>
      <c r="U21" s="127">
        <v>504.1</v>
      </c>
    </row>
    <row r="22" spans="1:40" s="53" customFormat="1" x14ac:dyDescent="0.2">
      <c r="A22" s="261"/>
      <c r="B22" s="110">
        <v>2286</v>
      </c>
      <c r="C22" s="110" t="s">
        <v>215</v>
      </c>
      <c r="D22" s="53">
        <v>112.94</v>
      </c>
      <c r="E22" s="53">
        <v>141.07</v>
      </c>
      <c r="F22" s="53">
        <v>169.22</v>
      </c>
      <c r="G22" s="127">
        <v>189.04</v>
      </c>
      <c r="H22" s="127">
        <v>215.96</v>
      </c>
      <c r="I22" s="127">
        <v>243.08</v>
      </c>
      <c r="J22" s="127">
        <v>270.01</v>
      </c>
      <c r="K22" s="127">
        <v>296.93</v>
      </c>
      <c r="L22" s="127">
        <v>324.04000000000002</v>
      </c>
      <c r="M22" s="127">
        <v>350.97</v>
      </c>
      <c r="N22" s="127">
        <v>378.08</v>
      </c>
      <c r="O22" s="127">
        <v>405</v>
      </c>
      <c r="P22" s="127">
        <v>431.94</v>
      </c>
      <c r="Q22" s="127">
        <v>434.06</v>
      </c>
      <c r="R22" s="127">
        <v>459.92</v>
      </c>
      <c r="S22" s="127">
        <v>486.67</v>
      </c>
      <c r="T22" s="127">
        <v>513.42999999999995</v>
      </c>
      <c r="U22" s="127">
        <v>540</v>
      </c>
    </row>
    <row r="23" spans="1:40" s="53" customFormat="1" x14ac:dyDescent="0.2">
      <c r="A23" s="261"/>
      <c r="B23" s="110">
        <v>2438</v>
      </c>
      <c r="C23" s="110" t="s">
        <v>216</v>
      </c>
      <c r="D23" s="53">
        <v>120.44</v>
      </c>
      <c r="E23" s="53">
        <v>150.44999999999999</v>
      </c>
      <c r="F23" s="53">
        <v>180.47</v>
      </c>
      <c r="G23" s="127">
        <v>201.61</v>
      </c>
      <c r="H23" s="127">
        <v>230.33</v>
      </c>
      <c r="I23" s="127">
        <v>259.24</v>
      </c>
      <c r="J23" s="127">
        <v>287.95</v>
      </c>
      <c r="K23" s="127">
        <v>316.68</v>
      </c>
      <c r="L23" s="127">
        <v>345.59</v>
      </c>
      <c r="M23" s="127">
        <v>374.3</v>
      </c>
      <c r="N23" s="127">
        <v>403.21</v>
      </c>
      <c r="O23" s="127">
        <v>431.94</v>
      </c>
      <c r="P23" s="127">
        <v>460.65</v>
      </c>
      <c r="Q23" s="127">
        <v>462.92</v>
      </c>
      <c r="R23" s="127">
        <v>490.51</v>
      </c>
      <c r="S23" s="127">
        <v>519.03</v>
      </c>
      <c r="T23" s="127">
        <v>547.55999999999995</v>
      </c>
      <c r="U23" s="127">
        <v>575.91</v>
      </c>
    </row>
    <row r="24" spans="1:40" s="53" customFormat="1" x14ac:dyDescent="0.2">
      <c r="A24" s="261"/>
      <c r="B24" s="110">
        <v>2591</v>
      </c>
      <c r="C24" s="110" t="s">
        <v>223</v>
      </c>
      <c r="D24" s="53">
        <v>128</v>
      </c>
      <c r="E24" s="53">
        <v>159.9</v>
      </c>
      <c r="F24" s="127">
        <v>183.53</v>
      </c>
      <c r="G24" s="127">
        <v>214.25</v>
      </c>
      <c r="H24" s="127">
        <v>244.78</v>
      </c>
      <c r="I24" s="127">
        <v>275.5</v>
      </c>
      <c r="J24" s="127">
        <v>306.02999999999997</v>
      </c>
      <c r="K24" s="127">
        <v>336.54</v>
      </c>
      <c r="L24" s="127">
        <v>367.27</v>
      </c>
      <c r="M24" s="127">
        <v>397.79</v>
      </c>
      <c r="N24" s="127">
        <v>428.52</v>
      </c>
      <c r="O24" s="127">
        <v>459.04</v>
      </c>
      <c r="P24" s="127">
        <v>489.56</v>
      </c>
      <c r="Q24" s="127">
        <v>491.97</v>
      </c>
      <c r="R24" s="127">
        <v>521.29</v>
      </c>
      <c r="S24" s="127">
        <v>551.6</v>
      </c>
      <c r="T24" s="127">
        <v>581.91999999999996</v>
      </c>
      <c r="U24" s="151" t="s">
        <v>329</v>
      </c>
      <c r="AN24" s="129"/>
    </row>
    <row r="25" spans="1:40" s="53" customFormat="1" x14ac:dyDescent="0.2">
      <c r="A25" s="261"/>
      <c r="B25" s="110">
        <v>2743</v>
      </c>
      <c r="C25" s="110" t="s">
        <v>224</v>
      </c>
      <c r="D25" s="53">
        <v>135.52000000000001</v>
      </c>
      <c r="E25" s="53">
        <v>169.28</v>
      </c>
      <c r="F25" s="127">
        <v>194.31</v>
      </c>
      <c r="G25" s="127">
        <v>226.83</v>
      </c>
      <c r="H25" s="127">
        <v>259.14</v>
      </c>
      <c r="I25" s="127">
        <v>291.66000000000003</v>
      </c>
      <c r="J25" s="127">
        <v>323.98</v>
      </c>
      <c r="K25" s="127">
        <v>356.29</v>
      </c>
      <c r="L25" s="127">
        <v>388.82</v>
      </c>
      <c r="M25" s="127">
        <v>421.12</v>
      </c>
      <c r="N25" s="127">
        <v>453.65</v>
      </c>
      <c r="O25" s="127">
        <v>485.97</v>
      </c>
      <c r="P25" s="127">
        <v>518.28</v>
      </c>
      <c r="Q25" s="127">
        <v>520.84</v>
      </c>
      <c r="R25" s="127">
        <v>551.87</v>
      </c>
      <c r="S25" s="127">
        <v>583.97</v>
      </c>
      <c r="T25" s="151" t="s">
        <v>329</v>
      </c>
      <c r="U25" s="151" t="s">
        <v>329</v>
      </c>
      <c r="AM25" s="129"/>
      <c r="AN25" s="129"/>
    </row>
    <row r="26" spans="1:40" s="53" customFormat="1" x14ac:dyDescent="0.2">
      <c r="A26" s="261"/>
      <c r="B26" s="110">
        <v>2896</v>
      </c>
      <c r="C26" s="110" t="s">
        <v>225</v>
      </c>
      <c r="D26" s="53">
        <v>143.07</v>
      </c>
      <c r="E26" s="53">
        <v>178.72</v>
      </c>
      <c r="F26" s="127">
        <v>205.14</v>
      </c>
      <c r="G26" s="127">
        <v>239.48</v>
      </c>
      <c r="H26" s="127">
        <v>273.60000000000002</v>
      </c>
      <c r="I26" s="127">
        <v>307.93</v>
      </c>
      <c r="J26" s="127">
        <v>342.05</v>
      </c>
      <c r="K26" s="127">
        <v>376.16</v>
      </c>
      <c r="L26" s="127">
        <v>410.5</v>
      </c>
      <c r="M26" s="127">
        <v>444.62</v>
      </c>
      <c r="N26" s="127">
        <v>478.96</v>
      </c>
      <c r="O26" s="127">
        <v>513.07000000000005</v>
      </c>
      <c r="P26" s="127">
        <v>547.20000000000005</v>
      </c>
      <c r="Q26" s="127">
        <v>549.88</v>
      </c>
      <c r="R26" s="127">
        <v>582.65</v>
      </c>
      <c r="S26" s="151" t="s">
        <v>329</v>
      </c>
      <c r="T26" s="151" t="s">
        <v>329</v>
      </c>
      <c r="U26" s="151" t="s">
        <v>329</v>
      </c>
      <c r="AL26" s="129"/>
      <c r="AM26" s="129"/>
      <c r="AN26" s="129"/>
    </row>
    <row r="27" spans="1:40" s="53" customFormat="1" x14ac:dyDescent="0.2">
      <c r="A27" s="261"/>
      <c r="B27" s="110">
        <v>3048</v>
      </c>
      <c r="C27" s="110" t="s">
        <v>226</v>
      </c>
      <c r="D27" s="53">
        <v>150.58000000000001</v>
      </c>
      <c r="E27" s="127">
        <v>180</v>
      </c>
      <c r="F27" s="127">
        <v>215.9</v>
      </c>
      <c r="G27" s="127">
        <v>252.04</v>
      </c>
      <c r="H27" s="127">
        <v>287.95</v>
      </c>
      <c r="I27" s="127">
        <v>324.08999999999997</v>
      </c>
      <c r="J27" s="127">
        <v>360</v>
      </c>
      <c r="K27" s="127">
        <v>395.91</v>
      </c>
      <c r="L27" s="127">
        <v>432.05</v>
      </c>
      <c r="M27" s="127">
        <v>467.96</v>
      </c>
      <c r="N27" s="127">
        <v>504.1</v>
      </c>
      <c r="O27" s="127">
        <v>540</v>
      </c>
      <c r="P27" s="127">
        <v>575.91</v>
      </c>
      <c r="Q27" s="151" t="s">
        <v>329</v>
      </c>
      <c r="R27" s="151" t="s">
        <v>329</v>
      </c>
      <c r="S27" s="151" t="s">
        <v>329</v>
      </c>
      <c r="T27" s="151" t="s">
        <v>329</v>
      </c>
      <c r="U27" s="151" t="s">
        <v>329</v>
      </c>
      <c r="AJ27" s="129"/>
      <c r="AK27" s="129"/>
      <c r="AL27" s="129"/>
      <c r="AM27" s="129"/>
      <c r="AN27" s="129"/>
    </row>
    <row r="28" spans="1:40" s="53" customFormat="1" x14ac:dyDescent="0.2">
      <c r="A28" s="109"/>
      <c r="B28" s="110"/>
      <c r="C28" s="110"/>
    </row>
    <row r="29" spans="1:40" s="53" customFormat="1" x14ac:dyDescent="0.2">
      <c r="A29" s="109"/>
      <c r="B29" s="110"/>
      <c r="C29" s="110"/>
    </row>
    <row r="30" spans="1:40" s="53" customFormat="1" x14ac:dyDescent="0.2">
      <c r="A30" s="109"/>
      <c r="B30" s="110"/>
      <c r="C30" s="110"/>
      <c r="D30" s="50">
        <v>0</v>
      </c>
      <c r="E30" s="53">
        <v>83.490000000000009</v>
      </c>
      <c r="G30" s="128" t="s">
        <v>270</v>
      </c>
      <c r="I30" s="53">
        <v>73.42</v>
      </c>
    </row>
    <row r="31" spans="1:40" s="53" customFormat="1" x14ac:dyDescent="0.2">
      <c r="A31" s="109"/>
      <c r="B31" s="110"/>
      <c r="C31" s="110"/>
      <c r="G31" s="127" t="s">
        <v>271</v>
      </c>
    </row>
    <row r="32" spans="1:40" s="53" customFormat="1" x14ac:dyDescent="0.2">
      <c r="A32" s="109"/>
      <c r="B32" s="110"/>
      <c r="C32" s="110"/>
      <c r="G32" s="266" t="s">
        <v>272</v>
      </c>
      <c r="H32" s="262"/>
      <c r="I32" s="129"/>
    </row>
    <row r="33" spans="1:21" s="53" customFormat="1" x14ac:dyDescent="0.2">
      <c r="D33" s="263" t="s">
        <v>203</v>
      </c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</row>
    <row r="34" spans="1:21" s="53" customFormat="1" x14ac:dyDescent="0.2">
      <c r="A34" s="111" t="s">
        <v>228</v>
      </c>
      <c r="D34" s="112">
        <f>SUM(D35*B40)/1000000</f>
        <v>0.65086999999999995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259"/>
      <c r="R34" s="260"/>
      <c r="S34" s="260"/>
      <c r="T34" s="260"/>
      <c r="U34" s="260"/>
    </row>
    <row r="35" spans="1:21" s="53" customFormat="1" x14ac:dyDescent="0.2">
      <c r="D35" s="110">
        <v>610</v>
      </c>
      <c r="E35" s="110">
        <v>762</v>
      </c>
      <c r="F35" s="110">
        <v>914</v>
      </c>
      <c r="G35" s="110">
        <v>1067</v>
      </c>
      <c r="H35" s="110">
        <v>1219</v>
      </c>
      <c r="I35" s="110">
        <v>1372</v>
      </c>
      <c r="J35" s="110">
        <v>1524</v>
      </c>
      <c r="K35" s="110">
        <v>1676</v>
      </c>
      <c r="L35" s="110">
        <v>1829</v>
      </c>
      <c r="M35" s="110">
        <v>1981</v>
      </c>
      <c r="N35" s="110">
        <v>2134</v>
      </c>
      <c r="O35" s="110">
        <v>2286</v>
      </c>
      <c r="P35" s="110">
        <v>2438</v>
      </c>
      <c r="Q35" s="110">
        <v>2450</v>
      </c>
      <c r="R35" s="53">
        <v>2596</v>
      </c>
      <c r="S35" s="53">
        <v>2747</v>
      </c>
      <c r="T35" s="53">
        <v>2898</v>
      </c>
      <c r="U35" s="53">
        <v>3048</v>
      </c>
    </row>
    <row r="36" spans="1:21" s="53" customFormat="1" x14ac:dyDescent="0.2">
      <c r="D36" s="110" t="s">
        <v>204</v>
      </c>
      <c r="E36" s="110" t="s">
        <v>205</v>
      </c>
      <c r="F36" s="110" t="s">
        <v>206</v>
      </c>
      <c r="G36" s="110" t="s">
        <v>207</v>
      </c>
      <c r="H36" s="110" t="s">
        <v>208</v>
      </c>
      <c r="I36" s="110" t="s">
        <v>209</v>
      </c>
      <c r="J36" s="110" t="s">
        <v>210</v>
      </c>
      <c r="K36" s="110" t="s">
        <v>211</v>
      </c>
      <c r="L36" s="110" t="s">
        <v>212</v>
      </c>
      <c r="M36" s="110" t="s">
        <v>213</v>
      </c>
      <c r="N36" s="110" t="s">
        <v>214</v>
      </c>
      <c r="O36" s="110" t="s">
        <v>215</v>
      </c>
      <c r="P36" s="110" t="s">
        <v>216</v>
      </c>
      <c r="Q36" s="110" t="s">
        <v>217</v>
      </c>
      <c r="R36" s="53" t="s">
        <v>218</v>
      </c>
      <c r="S36" s="53" t="s">
        <v>219</v>
      </c>
      <c r="T36" s="53" t="s">
        <v>220</v>
      </c>
      <c r="U36" s="53" t="s">
        <v>221</v>
      </c>
    </row>
    <row r="37" spans="1:21" s="53" customFormat="1" x14ac:dyDescent="0.2">
      <c r="A37" s="261" t="s">
        <v>222</v>
      </c>
      <c r="B37" s="110">
        <v>610</v>
      </c>
      <c r="C37" s="110" t="s">
        <v>204</v>
      </c>
      <c r="D37" s="152">
        <v>73.42</v>
      </c>
      <c r="E37" s="152">
        <v>73.42</v>
      </c>
      <c r="F37" s="152">
        <v>73.42</v>
      </c>
      <c r="G37" s="152">
        <v>73.42</v>
      </c>
      <c r="H37" s="152">
        <v>73.42</v>
      </c>
      <c r="I37" s="53">
        <v>76.67</v>
      </c>
      <c r="J37" s="53">
        <v>85.16</v>
      </c>
      <c r="K37" s="53">
        <v>93.66</v>
      </c>
      <c r="L37" s="53">
        <v>102.21</v>
      </c>
      <c r="M37" s="53">
        <v>110.71</v>
      </c>
      <c r="N37" s="53">
        <v>119.25</v>
      </c>
      <c r="O37" s="53">
        <v>127.74</v>
      </c>
      <c r="P37" s="53">
        <v>136.24</v>
      </c>
      <c r="Q37" s="53">
        <v>136.91</v>
      </c>
      <c r="R37" s="53">
        <v>145.07</v>
      </c>
      <c r="S37" s="53">
        <v>153.51</v>
      </c>
      <c r="T37" s="53">
        <v>161.94</v>
      </c>
      <c r="U37" s="53">
        <v>170.33</v>
      </c>
    </row>
    <row r="38" spans="1:21" s="53" customFormat="1" x14ac:dyDescent="0.2">
      <c r="A38" s="262"/>
      <c r="B38" s="110">
        <v>762</v>
      </c>
      <c r="C38" s="110" t="s">
        <v>205</v>
      </c>
      <c r="D38" s="152">
        <v>73.42</v>
      </c>
      <c r="E38" s="152">
        <v>73.42</v>
      </c>
      <c r="F38" s="152">
        <v>73.42</v>
      </c>
      <c r="G38" s="152">
        <v>73.42</v>
      </c>
      <c r="H38" s="53">
        <v>85.09</v>
      </c>
      <c r="I38" s="53">
        <v>95.77</v>
      </c>
      <c r="J38" s="53">
        <v>106.39</v>
      </c>
      <c r="K38" s="53">
        <v>116.99</v>
      </c>
      <c r="L38" s="53">
        <v>127.67</v>
      </c>
      <c r="M38" s="53">
        <v>138.29</v>
      </c>
      <c r="N38" s="53">
        <v>148.97</v>
      </c>
      <c r="O38" s="53">
        <v>159.57</v>
      </c>
      <c r="P38" s="53">
        <v>170.19</v>
      </c>
      <c r="Q38" s="53">
        <v>171.02</v>
      </c>
      <c r="R38" s="127">
        <v>173.41</v>
      </c>
      <c r="S38" s="127">
        <v>183.49</v>
      </c>
      <c r="T38" s="127">
        <v>193.59</v>
      </c>
      <c r="U38" s="127">
        <v>203.6</v>
      </c>
    </row>
    <row r="39" spans="1:21" s="53" customFormat="1" x14ac:dyDescent="0.2">
      <c r="A39" s="262"/>
      <c r="B39" s="110">
        <v>914</v>
      </c>
      <c r="C39" s="110" t="s">
        <v>206</v>
      </c>
      <c r="D39" s="152">
        <v>73.42</v>
      </c>
      <c r="E39" s="152">
        <v>73.42</v>
      </c>
      <c r="F39" s="53">
        <v>76.53</v>
      </c>
      <c r="G39" s="53">
        <v>89.34</v>
      </c>
      <c r="H39" s="53">
        <v>102.07</v>
      </c>
      <c r="I39" s="53">
        <v>114.88</v>
      </c>
      <c r="J39" s="53">
        <v>127.6</v>
      </c>
      <c r="K39" s="53">
        <v>140.33000000000001</v>
      </c>
      <c r="L39" s="53">
        <v>153.13999999999999</v>
      </c>
      <c r="M39" s="53">
        <v>165.87</v>
      </c>
      <c r="N39" s="53">
        <v>178.68</v>
      </c>
      <c r="O39" s="127">
        <v>183.17</v>
      </c>
      <c r="P39" s="127">
        <v>195.35</v>
      </c>
      <c r="Q39" s="127">
        <v>196.3</v>
      </c>
      <c r="R39" s="127">
        <v>208</v>
      </c>
      <c r="S39" s="127">
        <v>220.11</v>
      </c>
      <c r="T39" s="127">
        <v>232.2</v>
      </c>
      <c r="U39" s="127">
        <v>244.22</v>
      </c>
    </row>
    <row r="40" spans="1:21" s="53" customFormat="1" x14ac:dyDescent="0.2">
      <c r="A40" s="262"/>
      <c r="B40" s="110">
        <v>1067</v>
      </c>
      <c r="C40" s="110" t="s">
        <v>207</v>
      </c>
      <c r="D40" s="152">
        <v>73.42</v>
      </c>
      <c r="E40" s="53">
        <v>74.489999999999995</v>
      </c>
      <c r="F40" s="53">
        <v>89.34</v>
      </c>
      <c r="G40" s="53">
        <v>104.3</v>
      </c>
      <c r="H40" s="53">
        <v>119.15</v>
      </c>
      <c r="I40" s="53">
        <v>134.11000000000001</v>
      </c>
      <c r="J40" s="53">
        <v>148.97</v>
      </c>
      <c r="K40" s="53">
        <v>163.83000000000001</v>
      </c>
      <c r="L40" s="53">
        <v>178.78</v>
      </c>
      <c r="M40" s="127">
        <v>185.3</v>
      </c>
      <c r="N40" s="127">
        <v>199.61</v>
      </c>
      <c r="O40" s="127">
        <v>213.83</v>
      </c>
      <c r="P40" s="127">
        <v>228.04</v>
      </c>
      <c r="Q40" s="127">
        <v>229.16</v>
      </c>
      <c r="R40" s="127">
        <v>242.83</v>
      </c>
      <c r="S40" s="127">
        <v>256.95</v>
      </c>
      <c r="T40" s="127">
        <v>271.08</v>
      </c>
      <c r="U40" s="127">
        <v>285.10000000000002</v>
      </c>
    </row>
    <row r="41" spans="1:21" s="53" customFormat="1" x14ac:dyDescent="0.2">
      <c r="A41" s="262"/>
      <c r="B41" s="110">
        <v>1219</v>
      </c>
      <c r="C41" s="110" t="s">
        <v>208</v>
      </c>
      <c r="D41" s="152">
        <v>73.42</v>
      </c>
      <c r="E41" s="53">
        <v>85.09</v>
      </c>
      <c r="F41" s="53">
        <v>102.07</v>
      </c>
      <c r="G41" s="53">
        <v>119.15</v>
      </c>
      <c r="H41" s="53">
        <v>136.13</v>
      </c>
      <c r="I41" s="53">
        <v>153.21</v>
      </c>
      <c r="J41" s="53">
        <v>170.19</v>
      </c>
      <c r="K41" s="127">
        <v>179.11</v>
      </c>
      <c r="L41" s="127">
        <v>195.45</v>
      </c>
      <c r="M41" s="127">
        <v>211.7</v>
      </c>
      <c r="N41" s="127">
        <v>228.04</v>
      </c>
      <c r="O41" s="127">
        <v>244.29</v>
      </c>
      <c r="P41" s="127">
        <v>260.52999999999997</v>
      </c>
      <c r="Q41" s="127">
        <v>261.82</v>
      </c>
      <c r="R41" s="127">
        <v>277.42</v>
      </c>
      <c r="S41" s="127">
        <v>293.55</v>
      </c>
      <c r="T41" s="127">
        <v>309.69</v>
      </c>
      <c r="U41" s="127">
        <v>325.72000000000003</v>
      </c>
    </row>
    <row r="42" spans="1:21" s="53" customFormat="1" x14ac:dyDescent="0.2">
      <c r="A42" s="262"/>
      <c r="B42" s="110">
        <v>1372</v>
      </c>
      <c r="C42" s="110" t="s">
        <v>209</v>
      </c>
      <c r="D42" s="53">
        <v>76.67</v>
      </c>
      <c r="E42" s="53">
        <v>95.77</v>
      </c>
      <c r="F42" s="53">
        <v>114.88</v>
      </c>
      <c r="G42" s="53">
        <v>134.11000000000001</v>
      </c>
      <c r="H42" s="53">
        <v>153.21</v>
      </c>
      <c r="I42" s="53">
        <v>172.44</v>
      </c>
      <c r="J42" s="127">
        <v>183.3</v>
      </c>
      <c r="K42" s="127">
        <v>201.58</v>
      </c>
      <c r="L42" s="127">
        <v>219.98</v>
      </c>
      <c r="M42" s="127">
        <v>238.26</v>
      </c>
      <c r="N42" s="127">
        <v>256.66000000000003</v>
      </c>
      <c r="O42" s="127">
        <v>274.95</v>
      </c>
      <c r="P42" s="127">
        <v>293.23</v>
      </c>
      <c r="Q42" s="127">
        <v>294.68</v>
      </c>
      <c r="R42" s="127">
        <v>312.23</v>
      </c>
      <c r="S42" s="127">
        <v>330.4</v>
      </c>
      <c r="T42" s="127">
        <v>348.56</v>
      </c>
      <c r="U42" s="127">
        <v>366.6</v>
      </c>
    </row>
    <row r="43" spans="1:21" s="53" customFormat="1" x14ac:dyDescent="0.2">
      <c r="A43" s="262"/>
      <c r="B43" s="110">
        <v>1524</v>
      </c>
      <c r="C43" s="110" t="s">
        <v>210</v>
      </c>
      <c r="D43" s="53">
        <v>85.16</v>
      </c>
      <c r="E43" s="53">
        <v>106.39</v>
      </c>
      <c r="F43" s="53">
        <v>127.6</v>
      </c>
      <c r="G43" s="53">
        <v>148.97</v>
      </c>
      <c r="H43" s="53">
        <v>170.19</v>
      </c>
      <c r="I43" s="127">
        <v>183.3</v>
      </c>
      <c r="J43" s="127">
        <v>203.6</v>
      </c>
      <c r="K43" s="127">
        <v>223.92</v>
      </c>
      <c r="L43" s="127">
        <v>244.35</v>
      </c>
      <c r="M43" s="127">
        <v>264.67</v>
      </c>
      <c r="N43" s="127">
        <v>285.10000000000002</v>
      </c>
      <c r="O43" s="127">
        <v>305.42</v>
      </c>
      <c r="P43" s="127">
        <v>325.72000000000003</v>
      </c>
      <c r="Q43" s="127">
        <v>327.33</v>
      </c>
      <c r="R43" s="127">
        <v>346.82</v>
      </c>
      <c r="S43" s="127">
        <v>367</v>
      </c>
      <c r="T43" s="127">
        <v>387.18</v>
      </c>
      <c r="U43" s="127">
        <v>407.22</v>
      </c>
    </row>
    <row r="44" spans="1:21" s="53" customFormat="1" x14ac:dyDescent="0.2">
      <c r="A44" s="262"/>
      <c r="B44" s="110">
        <v>1676</v>
      </c>
      <c r="C44" s="110" t="s">
        <v>211</v>
      </c>
      <c r="D44" s="53">
        <v>93.66</v>
      </c>
      <c r="E44" s="53">
        <v>116.99</v>
      </c>
      <c r="F44" s="53">
        <v>140.33000000000001</v>
      </c>
      <c r="G44" s="53">
        <v>163.83000000000001</v>
      </c>
      <c r="H44" s="127">
        <v>179.11</v>
      </c>
      <c r="I44" s="127">
        <v>201.58</v>
      </c>
      <c r="J44" s="127">
        <v>223.92</v>
      </c>
      <c r="K44" s="127">
        <v>246.25</v>
      </c>
      <c r="L44" s="127">
        <v>268.72000000000003</v>
      </c>
      <c r="M44" s="127">
        <v>291.06</v>
      </c>
      <c r="N44" s="127">
        <v>313.54000000000002</v>
      </c>
      <c r="O44" s="127">
        <v>335.87</v>
      </c>
      <c r="P44" s="127">
        <v>358.2</v>
      </c>
      <c r="Q44" s="127">
        <v>359.97</v>
      </c>
      <c r="R44" s="127">
        <v>381.42</v>
      </c>
      <c r="S44" s="127">
        <v>403.6</v>
      </c>
      <c r="T44" s="127">
        <v>425.79</v>
      </c>
      <c r="U44" s="127">
        <v>447.83</v>
      </c>
    </row>
    <row r="45" spans="1:21" s="53" customFormat="1" x14ac:dyDescent="0.2">
      <c r="A45" s="262"/>
      <c r="B45" s="110">
        <v>1829</v>
      </c>
      <c r="C45" s="110" t="s">
        <v>212</v>
      </c>
      <c r="D45" s="53">
        <v>102.21</v>
      </c>
      <c r="E45" s="53">
        <v>127.67</v>
      </c>
      <c r="F45" s="53">
        <v>153.13999999999999</v>
      </c>
      <c r="G45" s="53">
        <v>178.78</v>
      </c>
      <c r="H45" s="127">
        <v>195.45</v>
      </c>
      <c r="I45" s="127">
        <v>219.98</v>
      </c>
      <c r="J45" s="127">
        <v>244.35</v>
      </c>
      <c r="K45" s="127">
        <v>268.72000000000003</v>
      </c>
      <c r="L45" s="127">
        <v>293.25</v>
      </c>
      <c r="M45" s="127">
        <v>317.63</v>
      </c>
      <c r="N45" s="127">
        <v>342.16</v>
      </c>
      <c r="O45" s="127">
        <v>366.54</v>
      </c>
      <c r="P45" s="127">
        <v>390.91</v>
      </c>
      <c r="Q45" s="127">
        <v>392.83</v>
      </c>
      <c r="R45" s="127">
        <v>416.24</v>
      </c>
      <c r="S45" s="127">
        <v>440.44</v>
      </c>
      <c r="T45" s="127">
        <v>464.66</v>
      </c>
      <c r="U45" s="127">
        <v>488.72</v>
      </c>
    </row>
    <row r="46" spans="1:21" s="53" customFormat="1" x14ac:dyDescent="0.2">
      <c r="A46" s="262"/>
      <c r="B46" s="110">
        <v>1981</v>
      </c>
      <c r="C46" s="110" t="s">
        <v>213</v>
      </c>
      <c r="D46" s="53">
        <v>110.71</v>
      </c>
      <c r="E46" s="53">
        <v>138.29</v>
      </c>
      <c r="F46" s="53">
        <v>165.87</v>
      </c>
      <c r="G46" s="127">
        <v>185.3</v>
      </c>
      <c r="H46" s="127">
        <v>211.7</v>
      </c>
      <c r="I46" s="127">
        <v>238.26</v>
      </c>
      <c r="J46" s="127">
        <v>264.67</v>
      </c>
      <c r="K46" s="127">
        <v>291.06</v>
      </c>
      <c r="L46" s="127">
        <v>317.63</v>
      </c>
      <c r="M46" s="127">
        <v>344.03</v>
      </c>
      <c r="N46" s="127">
        <v>370.59</v>
      </c>
      <c r="O46" s="127">
        <v>397</v>
      </c>
      <c r="P46" s="127">
        <v>423.39</v>
      </c>
      <c r="Q46" s="127">
        <v>425.48</v>
      </c>
      <c r="R46" s="127">
        <v>450.83</v>
      </c>
      <c r="S46" s="127">
        <v>477.05</v>
      </c>
      <c r="T46" s="127">
        <v>503.28</v>
      </c>
      <c r="U46" s="127">
        <v>529.32000000000005</v>
      </c>
    </row>
    <row r="47" spans="1:21" s="53" customFormat="1" x14ac:dyDescent="0.2">
      <c r="A47" s="262"/>
      <c r="B47" s="110">
        <v>2134</v>
      </c>
      <c r="C47" s="110" t="s">
        <v>214</v>
      </c>
      <c r="D47" s="53">
        <v>119.25</v>
      </c>
      <c r="E47" s="53">
        <v>148.97</v>
      </c>
      <c r="F47" s="53">
        <v>178.68</v>
      </c>
      <c r="G47" s="127">
        <v>199.61</v>
      </c>
      <c r="H47" s="127">
        <v>228.04</v>
      </c>
      <c r="I47" s="127">
        <v>256.66000000000003</v>
      </c>
      <c r="J47" s="127">
        <v>285.10000000000002</v>
      </c>
      <c r="K47" s="127">
        <v>313.54000000000002</v>
      </c>
      <c r="L47" s="127">
        <v>342.16</v>
      </c>
      <c r="M47" s="127">
        <v>370.59</v>
      </c>
      <c r="N47" s="127">
        <v>399.23</v>
      </c>
      <c r="O47" s="127">
        <v>427.65</v>
      </c>
      <c r="P47" s="127">
        <v>456.09</v>
      </c>
      <c r="Q47" s="127">
        <v>458.34</v>
      </c>
      <c r="R47" s="127">
        <v>485.65</v>
      </c>
      <c r="S47" s="127">
        <v>513.89</v>
      </c>
      <c r="T47" s="127">
        <v>542.15</v>
      </c>
      <c r="U47" s="127">
        <v>570.21</v>
      </c>
    </row>
    <row r="48" spans="1:21" s="53" customFormat="1" x14ac:dyDescent="0.2">
      <c r="A48" s="262"/>
      <c r="B48" s="110">
        <v>2286</v>
      </c>
      <c r="C48" s="110" t="s">
        <v>215</v>
      </c>
      <c r="D48" s="53">
        <v>127.74</v>
      </c>
      <c r="E48" s="53">
        <v>159.57</v>
      </c>
      <c r="F48" s="127">
        <v>183.17</v>
      </c>
      <c r="G48" s="127">
        <v>213.83</v>
      </c>
      <c r="H48" s="127">
        <v>244.29</v>
      </c>
      <c r="I48" s="127">
        <v>274.95</v>
      </c>
      <c r="J48" s="127">
        <v>305.42</v>
      </c>
      <c r="K48" s="127">
        <v>335.87</v>
      </c>
      <c r="L48" s="127">
        <v>366.54</v>
      </c>
      <c r="M48" s="127">
        <v>397</v>
      </c>
      <c r="N48" s="127">
        <v>427.65</v>
      </c>
      <c r="O48" s="127">
        <v>458.12</v>
      </c>
      <c r="P48" s="127">
        <v>488.58</v>
      </c>
      <c r="Q48" s="127">
        <v>490.98</v>
      </c>
      <c r="R48" s="127">
        <v>520.25</v>
      </c>
      <c r="S48" s="127">
        <v>550.5</v>
      </c>
      <c r="T48" s="127">
        <v>580.76</v>
      </c>
      <c r="U48" s="127">
        <v>610.83000000000004</v>
      </c>
    </row>
    <row r="49" spans="1:40" s="53" customFormat="1" x14ac:dyDescent="0.2">
      <c r="A49" s="262"/>
      <c r="B49" s="110">
        <v>2438</v>
      </c>
      <c r="C49" s="110" t="s">
        <v>216</v>
      </c>
      <c r="D49" s="53">
        <v>136.24</v>
      </c>
      <c r="E49" s="53">
        <v>170.19</v>
      </c>
      <c r="F49" s="127">
        <v>195.34</v>
      </c>
      <c r="G49" s="127">
        <v>228.04</v>
      </c>
      <c r="H49" s="127">
        <v>260.52999999999997</v>
      </c>
      <c r="I49" s="127">
        <v>293.23</v>
      </c>
      <c r="J49" s="127">
        <v>325.72000000000003</v>
      </c>
      <c r="K49" s="127">
        <v>358.2</v>
      </c>
      <c r="L49" s="127">
        <v>390.91</v>
      </c>
      <c r="M49" s="127">
        <v>423.39</v>
      </c>
      <c r="N49" s="127">
        <v>456.09</v>
      </c>
      <c r="O49" s="127">
        <v>488.58</v>
      </c>
      <c r="P49" s="127">
        <v>521.07000000000005</v>
      </c>
      <c r="Q49" s="127">
        <v>523.63</v>
      </c>
      <c r="R49" s="127">
        <v>554.83000000000004</v>
      </c>
      <c r="S49" s="127">
        <v>587.11</v>
      </c>
      <c r="T49" s="127">
        <v>619.38</v>
      </c>
      <c r="U49" s="127">
        <v>651.42999999999995</v>
      </c>
    </row>
    <row r="50" spans="1:40" s="53" customFormat="1" x14ac:dyDescent="0.2">
      <c r="A50" s="262"/>
      <c r="B50" s="110">
        <v>2591</v>
      </c>
      <c r="C50" s="110" t="s">
        <v>223</v>
      </c>
      <c r="D50" s="53">
        <v>144.79</v>
      </c>
      <c r="E50" s="53">
        <v>180.87</v>
      </c>
      <c r="F50" s="127">
        <v>207.6</v>
      </c>
      <c r="G50" s="127">
        <v>242.35</v>
      </c>
      <c r="H50" s="127">
        <v>276.88</v>
      </c>
      <c r="I50" s="127">
        <v>311.63</v>
      </c>
      <c r="J50" s="127">
        <v>346.17</v>
      </c>
      <c r="K50" s="127">
        <v>380.69</v>
      </c>
      <c r="L50" s="127">
        <v>415.44</v>
      </c>
      <c r="M50" s="127">
        <v>449.96</v>
      </c>
      <c r="N50" s="127">
        <v>484.72</v>
      </c>
      <c r="O50" s="127">
        <v>519.24</v>
      </c>
      <c r="P50" s="127">
        <v>553.76</v>
      </c>
      <c r="Q50" s="127">
        <v>556.49</v>
      </c>
      <c r="R50" s="127">
        <v>589.65</v>
      </c>
      <c r="S50" s="127">
        <v>623.95000000000005</v>
      </c>
      <c r="T50" s="127">
        <v>658.25</v>
      </c>
      <c r="U50" s="131" t="s">
        <v>329</v>
      </c>
      <c r="AN50" s="129"/>
    </row>
    <row r="51" spans="1:40" s="53" customFormat="1" x14ac:dyDescent="0.2">
      <c r="A51" s="262"/>
      <c r="B51" s="110">
        <v>2743</v>
      </c>
      <c r="C51" s="110" t="s">
        <v>224</v>
      </c>
      <c r="D51" s="53">
        <v>153.28</v>
      </c>
      <c r="E51" s="127">
        <v>183.23</v>
      </c>
      <c r="F51" s="127">
        <v>219.78</v>
      </c>
      <c r="G51" s="127">
        <v>256.57</v>
      </c>
      <c r="H51" s="127">
        <v>293.13</v>
      </c>
      <c r="I51" s="127">
        <v>329.91</v>
      </c>
      <c r="J51" s="127">
        <v>366.47</v>
      </c>
      <c r="K51" s="127">
        <v>403.01</v>
      </c>
      <c r="L51" s="127">
        <v>439.81</v>
      </c>
      <c r="M51" s="127">
        <v>476.36</v>
      </c>
      <c r="N51" s="127">
        <v>513.15</v>
      </c>
      <c r="O51" s="127">
        <v>549.70000000000005</v>
      </c>
      <c r="P51" s="127">
        <v>586.25</v>
      </c>
      <c r="Q51" s="127">
        <v>589.13</v>
      </c>
      <c r="R51" s="127">
        <v>624.24</v>
      </c>
      <c r="S51" s="127">
        <v>660.56</v>
      </c>
      <c r="T51" s="131" t="s">
        <v>329</v>
      </c>
      <c r="U51" s="131" t="s">
        <v>329</v>
      </c>
      <c r="AM51" s="129"/>
      <c r="AN51" s="129"/>
    </row>
    <row r="52" spans="1:40" s="53" customFormat="1" x14ac:dyDescent="0.2">
      <c r="A52" s="262"/>
      <c r="B52" s="110">
        <v>2896</v>
      </c>
      <c r="C52" s="110" t="s">
        <v>225</v>
      </c>
      <c r="D52" s="53">
        <v>161.84</v>
      </c>
      <c r="E52" s="127">
        <v>193.45</v>
      </c>
      <c r="F52" s="127">
        <v>232.04</v>
      </c>
      <c r="G52" s="127">
        <v>270.88</v>
      </c>
      <c r="H52" s="127">
        <v>309.47000000000003</v>
      </c>
      <c r="I52" s="127">
        <v>348.31</v>
      </c>
      <c r="J52" s="127">
        <v>386.9</v>
      </c>
      <c r="K52" s="127">
        <v>425.5</v>
      </c>
      <c r="L52" s="127">
        <v>464.34</v>
      </c>
      <c r="M52" s="127">
        <v>502.93</v>
      </c>
      <c r="N52" s="127">
        <v>541.78</v>
      </c>
      <c r="O52" s="127">
        <v>580.36</v>
      </c>
      <c r="P52" s="127">
        <v>618.95000000000005</v>
      </c>
      <c r="Q52" s="127">
        <v>622</v>
      </c>
      <c r="R52" s="127">
        <v>659.07</v>
      </c>
      <c r="S52" s="131" t="s">
        <v>329</v>
      </c>
      <c r="T52" s="131" t="s">
        <v>329</v>
      </c>
      <c r="U52" s="131" t="s">
        <v>329</v>
      </c>
      <c r="AL52" s="129"/>
      <c r="AM52" s="129"/>
      <c r="AN52" s="129"/>
    </row>
    <row r="53" spans="1:40" s="53" customFormat="1" x14ac:dyDescent="0.2">
      <c r="A53" s="262"/>
      <c r="B53" s="110">
        <v>3048</v>
      </c>
      <c r="C53" s="110" t="s">
        <v>226</v>
      </c>
      <c r="D53" s="53">
        <v>170.33</v>
      </c>
      <c r="E53" s="127">
        <v>203.6</v>
      </c>
      <c r="F53" s="127">
        <v>244.22</v>
      </c>
      <c r="G53" s="127">
        <v>285.10000000000002</v>
      </c>
      <c r="H53" s="127">
        <v>325.72000000000003</v>
      </c>
      <c r="I53" s="127">
        <v>366.6</v>
      </c>
      <c r="J53" s="127">
        <v>407.22</v>
      </c>
      <c r="K53" s="127">
        <v>447.83</v>
      </c>
      <c r="L53" s="127">
        <v>488.72</v>
      </c>
      <c r="M53" s="127">
        <v>529.32000000000005</v>
      </c>
      <c r="N53" s="127">
        <v>570.21</v>
      </c>
      <c r="O53" s="127">
        <v>610.82000000000005</v>
      </c>
      <c r="P53" s="127">
        <v>651.42999999999995</v>
      </c>
      <c r="Q53" s="131" t="s">
        <v>329</v>
      </c>
      <c r="R53" s="131" t="s">
        <v>329</v>
      </c>
      <c r="S53" s="131" t="s">
        <v>329</v>
      </c>
      <c r="T53" s="131" t="s">
        <v>329</v>
      </c>
      <c r="U53" s="131" t="s">
        <v>329</v>
      </c>
      <c r="AJ53" s="129"/>
      <c r="AK53" s="129"/>
      <c r="AL53" s="129"/>
      <c r="AM53" s="129"/>
      <c r="AN53" s="129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c888148eda03a7ff4bbb4456f230f362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256aef80f0a8ea851f6f7eba25a7dfd1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218ACD-EB0B-4D22-8F7B-6A6B6C6D4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9F9814-785D-4B53-BC9D-D01C23D61BC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939dbf7-a5b3-4eeb-9dff-eb084b7b473e"/>
    <ds:schemaRef ds:uri="0dddf3cb-0bd4-4e55-ab2c-5abd4ce7580a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123</vt:i4>
      </vt:variant>
    </vt:vector>
  </HeadingPairs>
  <TitlesOfParts>
    <vt:vector size="129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Rebecca Keen</cp:lastModifiedBy>
  <cp:lastPrinted>2019-05-10T09:02:40Z</cp:lastPrinted>
  <dcterms:created xsi:type="dcterms:W3CDTF">2007-01-10T21:20:53Z</dcterms:created>
  <dcterms:modified xsi:type="dcterms:W3CDTF">2019-05-10T09:03:29Z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AuthorIds_UIVersion_1536">
    <vt:lpwstr>15</vt:lpwstr>
  </property>
</Properties>
</file>