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autoCompressPictures="0" defaultThemeVersion="124226"/>
  <mc:AlternateContent xmlns:mc="http://schemas.openxmlformats.org/markup-compatibility/2006">
    <mc:Choice Requires="x15">
      <x15ac:absPath xmlns:x15ac="http://schemas.microsoft.com/office/spreadsheetml/2010/11/ac" url="https://d.docs.live.net/7edbb0da4d8146c1/Sales Orders/"/>
    </mc:Choice>
  </mc:AlternateContent>
  <xr:revisionPtr revIDLastSave="16" documentId="8_{3EA738E6-F8F7-46ED-B08E-23D981006A59}" xr6:coauthVersionLast="47" xr6:coauthVersionMax="47" xr10:uidLastSave="{909596E2-324F-4FA1-88CA-5A26F789FB01}"/>
  <bookViews>
    <workbookView xWindow="-120" yWindow="-120" windowWidth="20730" windowHeight="11040" xr2:uid="{00000000-000D-0000-FFFF-FFFF00000000}"/>
  </bookViews>
  <sheets>
    <sheet name="Order form" sheetId="1" r:id="rId1"/>
    <sheet name="Phantom use only" sheetId="4" state="hidden" r:id="rId2"/>
    <sheet name="Bank details" sheetId="5" r:id="rId3"/>
  </sheets>
  <definedNames>
    <definedName name="_xlnm.Print_Area" localSheetId="0">'Order form'!$A$1:$N$84</definedName>
    <definedName name="_xlnm.Print_Area" localSheetId="1">'Phantom use only'!$G$8:$AE$13</definedName>
    <definedName name="_xlnm.Print_Titles" localSheetId="1">'Phantom use only'!$1:$4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7" i="1" l="1"/>
  <c r="K98" i="1"/>
  <c r="K99" i="1"/>
  <c r="K100" i="1"/>
  <c r="K101" i="1"/>
  <c r="O78" i="1"/>
  <c r="O14" i="1"/>
  <c r="AT15" i="1"/>
  <c r="BB15" i="1" s="1"/>
  <c r="J88" i="1" s="1"/>
  <c r="AT16" i="1"/>
  <c r="AT17" i="1"/>
  <c r="AT18" i="1"/>
  <c r="AT19" i="1"/>
  <c r="BB16" i="1"/>
  <c r="J89" i="1" s="1"/>
  <c r="BB17" i="1"/>
  <c r="J90" i="1" s="1"/>
  <c r="BB18" i="1"/>
  <c r="J91" i="1" s="1"/>
  <c r="BB19" i="1"/>
  <c r="AT14" i="1"/>
  <c r="BB14" i="1" s="1"/>
  <c r="J87" i="1" s="1"/>
  <c r="D226" i="1"/>
  <c r="D227" i="1"/>
  <c r="D228" i="1"/>
  <c r="D229" i="1"/>
  <c r="D230" i="1"/>
  <c r="D225" i="1"/>
  <c r="B226" i="1"/>
  <c r="C226" i="1"/>
  <c r="F226" i="1" s="1"/>
  <c r="B227" i="1"/>
  <c r="C227" i="1"/>
  <c r="F227" i="1" s="1"/>
  <c r="B228" i="1"/>
  <c r="C228" i="1"/>
  <c r="F228" i="1" s="1"/>
  <c r="B229" i="1"/>
  <c r="C229" i="1"/>
  <c r="F229" i="1" s="1"/>
  <c r="B230" i="1"/>
  <c r="C230" i="1"/>
  <c r="F230" i="1" s="1"/>
  <c r="C225" i="1"/>
  <c r="F225" i="1" s="1"/>
  <c r="B225" i="1"/>
  <c r="B177" i="1"/>
  <c r="C177" i="1"/>
  <c r="F177" i="1" s="1"/>
  <c r="D177" i="1"/>
  <c r="B178" i="1"/>
  <c r="C178" i="1"/>
  <c r="F178" i="1" s="1"/>
  <c r="D178" i="1"/>
  <c r="B179" i="1"/>
  <c r="C179" i="1"/>
  <c r="F179" i="1" s="1"/>
  <c r="D179" i="1"/>
  <c r="B180" i="1"/>
  <c r="C180" i="1"/>
  <c r="F180" i="1" s="1"/>
  <c r="D180" i="1"/>
  <c r="B181" i="1"/>
  <c r="C181" i="1"/>
  <c r="F181" i="1" s="1"/>
  <c r="H181" i="1" s="1"/>
  <c r="D181" i="1"/>
  <c r="E181" i="1" s="1"/>
  <c r="D176" i="1"/>
  <c r="C176" i="1"/>
  <c r="F176" i="1" s="1"/>
  <c r="B176" i="1"/>
  <c r="AV103" i="1"/>
  <c r="AW103" i="1"/>
  <c r="AZ103" i="1" s="1"/>
  <c r="AQ103" i="1" s="1"/>
  <c r="AP103" i="1" s="1"/>
  <c r="F103" i="1" s="1"/>
  <c r="AV104" i="1"/>
  <c r="AW104" i="1"/>
  <c r="AZ104" i="1" s="1"/>
  <c r="AQ104" i="1" s="1"/>
  <c r="AP104" i="1" s="1"/>
  <c r="F104" i="1" s="1"/>
  <c r="AV105" i="1"/>
  <c r="AW105" i="1"/>
  <c r="AZ105" i="1" s="1"/>
  <c r="AQ105" i="1" s="1"/>
  <c r="AP105" i="1" s="1"/>
  <c r="F105" i="1" s="1"/>
  <c r="AV106" i="1"/>
  <c r="AW106" i="1"/>
  <c r="AZ106" i="1" s="1"/>
  <c r="AQ106" i="1" s="1"/>
  <c r="AP106" i="1" s="1"/>
  <c r="F106" i="1" s="1"/>
  <c r="AV107" i="1"/>
  <c r="AW107" i="1"/>
  <c r="AZ107" i="1" s="1"/>
  <c r="AQ107" i="1" s="1"/>
  <c r="AP107" i="1" s="1"/>
  <c r="F107" i="1" s="1"/>
  <c r="AV102" i="1"/>
  <c r="AW102" i="1"/>
  <c r="AZ102" i="1" s="1"/>
  <c r="AQ102" i="1" s="1"/>
  <c r="AP102" i="1" s="1"/>
  <c r="AR103" i="1"/>
  <c r="AS103" i="1"/>
  <c r="AT103" i="1"/>
  <c r="AR104" i="1"/>
  <c r="AS104" i="1"/>
  <c r="AT104" i="1"/>
  <c r="AR105" i="1"/>
  <c r="AS105" i="1"/>
  <c r="AT105" i="1"/>
  <c r="AR106" i="1"/>
  <c r="AS106" i="1"/>
  <c r="AT106" i="1"/>
  <c r="AR107" i="1"/>
  <c r="AS107" i="1"/>
  <c r="AT107" i="1"/>
  <c r="AT102" i="1"/>
  <c r="AS102" i="1"/>
  <c r="AR102" i="1"/>
  <c r="O147" i="1"/>
  <c r="O148" i="1"/>
  <c r="O149" i="1"/>
  <c r="O150" i="1"/>
  <c r="O146" i="1"/>
  <c r="AQ91" i="1"/>
  <c r="R130" i="1"/>
  <c r="V130" i="1" s="1"/>
  <c r="R131" i="1"/>
  <c r="V131" i="1" s="1"/>
  <c r="R132" i="1"/>
  <c r="V132" i="1" s="1"/>
  <c r="R133" i="1"/>
  <c r="V133" i="1" s="1"/>
  <c r="R129" i="1"/>
  <c r="V129" i="1" s="1"/>
  <c r="V125" i="1"/>
  <c r="V126" i="1"/>
  <c r="V127" i="1"/>
  <c r="V124" i="1"/>
  <c r="AS89" i="1" s="1"/>
  <c r="AQ88" i="1"/>
  <c r="AQ89" i="1"/>
  <c r="AQ90" i="1"/>
  <c r="AA15" i="1"/>
  <c r="AA16" i="1"/>
  <c r="AA17" i="1"/>
  <c r="AA18" i="1"/>
  <c r="AA14" i="1"/>
  <c r="Z15" i="1"/>
  <c r="Z16" i="1"/>
  <c r="AK16" i="1" s="1"/>
  <c r="AT89" i="1" s="1"/>
  <c r="Z17" i="1"/>
  <c r="Z18" i="1"/>
  <c r="Z14" i="1"/>
  <c r="AQ87" i="1"/>
  <c r="B104" i="1"/>
  <c r="AL104" i="1" s="1"/>
  <c r="AD104" i="1"/>
  <c r="B103" i="1"/>
  <c r="AL103" i="1" s="1"/>
  <c r="AD103" i="1"/>
  <c r="B102" i="1"/>
  <c r="AL102" i="1" s="1"/>
  <c r="AD102" i="1"/>
  <c r="O33" i="1"/>
  <c r="O34" i="1"/>
  <c r="O35" i="1"/>
  <c r="O21" i="1"/>
  <c r="AJ87" i="1"/>
  <c r="AI87" i="1" s="1"/>
  <c r="T76" i="1"/>
  <c r="D131" i="1"/>
  <c r="M92" i="1" s="1"/>
  <c r="AJ88" i="1"/>
  <c r="AI88" i="1" s="1"/>
  <c r="AJ89" i="1"/>
  <c r="AI89" i="1" s="1"/>
  <c r="AJ90" i="1"/>
  <c r="AI90" i="1" s="1"/>
  <c r="AJ91" i="1"/>
  <c r="AI91" i="1" s="1"/>
  <c r="AJ92" i="1"/>
  <c r="AJ93" i="1"/>
  <c r="AI93" i="1" s="1"/>
  <c r="N93" i="1" s="1"/>
  <c r="AJ94" i="1"/>
  <c r="AI94" i="1" s="1"/>
  <c r="N94" i="1" s="1"/>
  <c r="AJ95" i="1"/>
  <c r="AI95" i="1" s="1"/>
  <c r="N95" i="1" s="1"/>
  <c r="AJ96" i="1"/>
  <c r="AI96" i="1" s="1"/>
  <c r="N96" i="1" s="1"/>
  <c r="AJ97" i="1"/>
  <c r="AI97" i="1" s="1"/>
  <c r="N97" i="1" s="1"/>
  <c r="AJ98" i="1"/>
  <c r="AI98" i="1" s="1"/>
  <c r="N98" i="1" s="1"/>
  <c r="T25" i="4"/>
  <c r="T24" i="4"/>
  <c r="X24" i="4" s="1"/>
  <c r="T23" i="4"/>
  <c r="X23" i="4" s="1"/>
  <c r="T22" i="4"/>
  <c r="X22" i="4" s="1"/>
  <c r="T21" i="4"/>
  <c r="X21" i="4" s="1"/>
  <c r="T20" i="4"/>
  <c r="X20" i="4" s="1"/>
  <c r="T19" i="4"/>
  <c r="X19" i="4" s="1"/>
  <c r="T18" i="4"/>
  <c r="X18" i="4" s="1"/>
  <c r="T17" i="4"/>
  <c r="X17" i="4" s="1"/>
  <c r="T16" i="4"/>
  <c r="X16" i="4" s="1"/>
  <c r="V18" i="1"/>
  <c r="V14" i="1"/>
  <c r="V15" i="1"/>
  <c r="V16" i="1"/>
  <c r="V17" i="1"/>
  <c r="N2" i="4"/>
  <c r="N1" i="4"/>
  <c r="R61" i="4"/>
  <c r="R62" i="4"/>
  <c r="R63" i="4"/>
  <c r="R64" i="4"/>
  <c r="R65" i="4"/>
  <c r="R66" i="4"/>
  <c r="R67" i="4"/>
  <c r="R68" i="4"/>
  <c r="R69" i="4"/>
  <c r="R60" i="4"/>
  <c r="R49" i="4"/>
  <c r="R50" i="4"/>
  <c r="R51" i="4"/>
  <c r="R52" i="4"/>
  <c r="R53" i="4"/>
  <c r="R54" i="4"/>
  <c r="R55" i="4"/>
  <c r="R56" i="4"/>
  <c r="R57" i="4"/>
  <c r="R48" i="4"/>
  <c r="V37" i="4"/>
  <c r="V38" i="4"/>
  <c r="V39" i="4"/>
  <c r="V40" i="4"/>
  <c r="V41" i="4"/>
  <c r="V42" i="4"/>
  <c r="V43" i="4"/>
  <c r="V44" i="4"/>
  <c r="V45" i="4"/>
  <c r="V36" i="4"/>
  <c r="Y29" i="4"/>
  <c r="Y30" i="4"/>
  <c r="Y31" i="4"/>
  <c r="Y32" i="4"/>
  <c r="Y33" i="4"/>
  <c r="Y28" i="4"/>
  <c r="V16" i="4"/>
  <c r="V17" i="4"/>
  <c r="V18" i="4"/>
  <c r="V19" i="4"/>
  <c r="V20" i="4"/>
  <c r="V21" i="4"/>
  <c r="V22" i="4"/>
  <c r="V23" i="4"/>
  <c r="V24" i="4"/>
  <c r="V25" i="4"/>
  <c r="AE16" i="4"/>
  <c r="O54" i="1"/>
  <c r="L54" i="1" s="1"/>
  <c r="O55" i="1"/>
  <c r="L55" i="1" s="1"/>
  <c r="O56" i="1"/>
  <c r="L56" i="1"/>
  <c r="O57" i="1"/>
  <c r="L57" i="1"/>
  <c r="O58" i="1"/>
  <c r="L58" i="1"/>
  <c r="O59" i="1"/>
  <c r="L59" i="1"/>
  <c r="O60" i="1"/>
  <c r="L60" i="1"/>
  <c r="O61" i="1"/>
  <c r="L61" i="1"/>
  <c r="O62" i="1"/>
  <c r="O53" i="1"/>
  <c r="L53" i="1" s="1"/>
  <c r="O66" i="1"/>
  <c r="L66" i="1" s="1"/>
  <c r="O67" i="1"/>
  <c r="L67" i="1" s="1"/>
  <c r="O68" i="1"/>
  <c r="L68" i="1"/>
  <c r="O69" i="1"/>
  <c r="L69" i="1"/>
  <c r="O70" i="1"/>
  <c r="L70" i="1"/>
  <c r="O71" i="1"/>
  <c r="L71" i="1"/>
  <c r="O72" i="1"/>
  <c r="L72" i="1"/>
  <c r="O73" i="1"/>
  <c r="O74" i="1"/>
  <c r="O65" i="1"/>
  <c r="L65" i="1" s="1"/>
  <c r="O42" i="1"/>
  <c r="L42" i="1" s="1"/>
  <c r="O43" i="1"/>
  <c r="L43" i="1" s="1"/>
  <c r="O44" i="1"/>
  <c r="L44" i="1" s="1"/>
  <c r="O45" i="1"/>
  <c r="L45" i="1" s="1"/>
  <c r="O46" i="1"/>
  <c r="L46" i="1" s="1"/>
  <c r="O47" i="1"/>
  <c r="L47" i="1" s="1"/>
  <c r="O48" i="1"/>
  <c r="L48" i="1" s="1"/>
  <c r="O49" i="1"/>
  <c r="L49" i="1" s="1"/>
  <c r="O50" i="1"/>
  <c r="L50" i="1" s="1"/>
  <c r="O41" i="1"/>
  <c r="L41" i="1" s="1"/>
  <c r="AE9" i="4"/>
  <c r="AE10" i="4"/>
  <c r="AE11" i="4"/>
  <c r="AE12" i="4"/>
  <c r="AE13" i="4"/>
  <c r="H28" i="4"/>
  <c r="H29" i="4"/>
  <c r="H30" i="4"/>
  <c r="H31" i="4"/>
  <c r="H32" i="4"/>
  <c r="H33" i="4"/>
  <c r="B2" i="4"/>
  <c r="B1" i="4"/>
  <c r="U16" i="4"/>
  <c r="W16" i="4" s="1"/>
  <c r="U17" i="4"/>
  <c r="W17" i="4" s="1"/>
  <c r="U18" i="4"/>
  <c r="W18" i="4" s="1"/>
  <c r="U19" i="4"/>
  <c r="W19" i="4" s="1"/>
  <c r="U20" i="4"/>
  <c r="W20" i="4" s="1"/>
  <c r="U21" i="4"/>
  <c r="W21" i="4" s="1"/>
  <c r="U22" i="4"/>
  <c r="W22" i="4" s="1"/>
  <c r="U23" i="4"/>
  <c r="W23" i="4" s="1"/>
  <c r="U24" i="4"/>
  <c r="W24" i="4" s="1"/>
  <c r="U25" i="4"/>
  <c r="W25" i="4" s="1"/>
  <c r="P15" i="4"/>
  <c r="P16" i="4"/>
  <c r="E16" i="4" s="1"/>
  <c r="F16" i="4" s="1"/>
  <c r="P17" i="4"/>
  <c r="E17" i="4" s="1"/>
  <c r="F17" i="4" s="1"/>
  <c r="P18" i="4"/>
  <c r="E18" i="4" s="1"/>
  <c r="F18" i="4" s="1"/>
  <c r="P19" i="4"/>
  <c r="E19" i="4" s="1"/>
  <c r="F19" i="4" s="1"/>
  <c r="P20" i="4"/>
  <c r="E20" i="4" s="1"/>
  <c r="F20" i="4" s="1"/>
  <c r="P21" i="4"/>
  <c r="E21" i="4" s="1"/>
  <c r="F21" i="4" s="1"/>
  <c r="P22" i="4"/>
  <c r="E22" i="4" s="1"/>
  <c r="F22" i="4" s="1"/>
  <c r="P23" i="4"/>
  <c r="E23" i="4" s="1"/>
  <c r="F23" i="4" s="1"/>
  <c r="P24" i="4"/>
  <c r="E24" i="4" s="1"/>
  <c r="F24" i="4" s="1"/>
  <c r="P25" i="4"/>
  <c r="E25" i="4" s="1"/>
  <c r="F25" i="4" s="1"/>
  <c r="X25" i="4"/>
  <c r="O15" i="4"/>
  <c r="O16" i="4"/>
  <c r="O17" i="4"/>
  <c r="O18" i="4"/>
  <c r="O19" i="4"/>
  <c r="O20" i="4"/>
  <c r="O21" i="4"/>
  <c r="O22" i="4"/>
  <c r="O23" i="4"/>
  <c r="O24" i="4"/>
  <c r="O25" i="4"/>
  <c r="H10" i="4"/>
  <c r="H11" i="4"/>
  <c r="H12" i="4"/>
  <c r="H13" i="4"/>
  <c r="Z8" i="4"/>
  <c r="Z9" i="4"/>
  <c r="Z10" i="4"/>
  <c r="Z11" i="4"/>
  <c r="Z12" i="4"/>
  <c r="Z13" i="4"/>
  <c r="Y8" i="4"/>
  <c r="Y9" i="4"/>
  <c r="Y10" i="4"/>
  <c r="Y11" i="4"/>
  <c r="Y12" i="4"/>
  <c r="Y13" i="4"/>
  <c r="X8" i="4"/>
  <c r="X9" i="4"/>
  <c r="X10" i="4"/>
  <c r="X11" i="4"/>
  <c r="X12" i="4"/>
  <c r="X13" i="4"/>
  <c r="W15" i="1"/>
  <c r="W16" i="1"/>
  <c r="W17" i="1"/>
  <c r="W18" i="1"/>
  <c r="W14" i="1"/>
  <c r="W9" i="4"/>
  <c r="W10" i="4"/>
  <c r="W11" i="4"/>
  <c r="W12" i="4"/>
  <c r="W13" i="4"/>
  <c r="V10" i="4"/>
  <c r="AC10" i="4" s="1"/>
  <c r="V11" i="4"/>
  <c r="AC11" i="4" s="1"/>
  <c r="V12" i="4"/>
  <c r="AC12" i="4" s="1"/>
  <c r="V13" i="4"/>
  <c r="AC13" i="4" s="1"/>
  <c r="V9" i="4"/>
  <c r="AC9" i="4" s="1"/>
  <c r="G60" i="4"/>
  <c r="G61" i="4"/>
  <c r="G62" i="4"/>
  <c r="G63" i="4"/>
  <c r="G64" i="4"/>
  <c r="G65" i="4"/>
  <c r="G66" i="4"/>
  <c r="G67" i="4"/>
  <c r="G68" i="4"/>
  <c r="G69" i="4"/>
  <c r="G48" i="4"/>
  <c r="G49" i="4"/>
  <c r="G50" i="4"/>
  <c r="G51" i="4"/>
  <c r="G52" i="4"/>
  <c r="G53" i="4"/>
  <c r="G54" i="4"/>
  <c r="G55" i="4"/>
  <c r="G56" i="4"/>
  <c r="G57" i="4"/>
  <c r="G36" i="4"/>
  <c r="G37" i="4"/>
  <c r="G38" i="4"/>
  <c r="G39" i="4"/>
  <c r="G40" i="4"/>
  <c r="G41" i="4"/>
  <c r="G42" i="4"/>
  <c r="G43" i="4"/>
  <c r="G44" i="4"/>
  <c r="G45" i="4"/>
  <c r="G28" i="4"/>
  <c r="G29" i="4"/>
  <c r="G30" i="4"/>
  <c r="G31" i="4"/>
  <c r="G32" i="4"/>
  <c r="G33" i="4"/>
  <c r="G16" i="4"/>
  <c r="G17" i="4"/>
  <c r="G18" i="4"/>
  <c r="G19" i="4"/>
  <c r="G20" i="4"/>
  <c r="G21" i="4"/>
  <c r="G22" i="4"/>
  <c r="G23" i="4"/>
  <c r="G24" i="4"/>
  <c r="G25" i="4"/>
  <c r="G10" i="4"/>
  <c r="G11" i="4"/>
  <c r="G12" i="4"/>
  <c r="G13" i="4"/>
  <c r="G9" i="4"/>
  <c r="J28" i="4"/>
  <c r="Q28" i="4" s="1"/>
  <c r="I33" i="4"/>
  <c r="J33" i="4"/>
  <c r="Q33" i="4" s="1"/>
  <c r="K33" i="4"/>
  <c r="H17" i="4"/>
  <c r="H18" i="4"/>
  <c r="H19" i="4"/>
  <c r="H20" i="4"/>
  <c r="H21" i="4"/>
  <c r="H22" i="4"/>
  <c r="H23" i="4"/>
  <c r="H24" i="4"/>
  <c r="H25" i="4"/>
  <c r="H16" i="4"/>
  <c r="K69" i="4"/>
  <c r="P69" i="4" s="1"/>
  <c r="Q69" i="4" s="1"/>
  <c r="J69" i="4"/>
  <c r="O69" i="4" s="1"/>
  <c r="K68" i="4"/>
  <c r="P68" i="4" s="1"/>
  <c r="Q68" i="4" s="1"/>
  <c r="J68" i="4"/>
  <c r="O68" i="4" s="1"/>
  <c r="K67" i="4"/>
  <c r="P67" i="4" s="1"/>
  <c r="Q67" i="4" s="1"/>
  <c r="J67" i="4"/>
  <c r="O67" i="4" s="1"/>
  <c r="K66" i="4"/>
  <c r="P66" i="4" s="1"/>
  <c r="Q66" i="4" s="1"/>
  <c r="J66" i="4"/>
  <c r="L66" i="4" s="1"/>
  <c r="M66" i="4" s="1"/>
  <c r="K65" i="4"/>
  <c r="P65" i="4" s="1"/>
  <c r="Q65" i="4" s="1"/>
  <c r="J65" i="4"/>
  <c r="N65" i="4" s="1"/>
  <c r="K64" i="4"/>
  <c r="P64" i="4" s="1"/>
  <c r="Q64" i="4" s="1"/>
  <c r="J64" i="4"/>
  <c r="L64" i="4" s="1"/>
  <c r="M64" i="4" s="1"/>
  <c r="K63" i="4"/>
  <c r="P63" i="4" s="1"/>
  <c r="Q63" i="4" s="1"/>
  <c r="J63" i="4"/>
  <c r="N63" i="4" s="1"/>
  <c r="K62" i="4"/>
  <c r="P62" i="4" s="1"/>
  <c r="Q62" i="4" s="1"/>
  <c r="J62" i="4"/>
  <c r="O62" i="4" s="1"/>
  <c r="K61" i="4"/>
  <c r="P61" i="4" s="1"/>
  <c r="Q61" i="4" s="1"/>
  <c r="J61" i="4"/>
  <c r="L61" i="4" s="1"/>
  <c r="M61" i="4" s="1"/>
  <c r="K60" i="4"/>
  <c r="P60" i="4" s="1"/>
  <c r="Q60" i="4" s="1"/>
  <c r="J60" i="4"/>
  <c r="L60" i="4" s="1"/>
  <c r="M60" i="4" s="1"/>
  <c r="J49" i="4"/>
  <c r="P49" i="4" s="1"/>
  <c r="Q49" i="4" s="1"/>
  <c r="K49" i="4"/>
  <c r="O49" i="4" s="1"/>
  <c r="J50" i="4"/>
  <c r="P50" i="4" s="1"/>
  <c r="Q50" i="4" s="1"/>
  <c r="K50" i="4"/>
  <c r="O50" i="4" s="1"/>
  <c r="J51" i="4"/>
  <c r="P51" i="4" s="1"/>
  <c r="Q51" i="4" s="1"/>
  <c r="K51" i="4"/>
  <c r="L51" i="4" s="1"/>
  <c r="J52" i="4"/>
  <c r="P52" i="4" s="1"/>
  <c r="Q52" i="4" s="1"/>
  <c r="K52" i="4"/>
  <c r="O52" i="4" s="1"/>
  <c r="J53" i="4"/>
  <c r="P53" i="4" s="1"/>
  <c r="Q53" i="4" s="1"/>
  <c r="K53" i="4"/>
  <c r="L53" i="4" s="1"/>
  <c r="J54" i="4"/>
  <c r="P54" i="4" s="1"/>
  <c r="Q54" i="4" s="1"/>
  <c r="K54" i="4"/>
  <c r="L54" i="4" s="1"/>
  <c r="M54" i="4" s="1"/>
  <c r="J55" i="4"/>
  <c r="P55" i="4" s="1"/>
  <c r="Q55" i="4" s="1"/>
  <c r="K55" i="4"/>
  <c r="L55" i="4" s="1"/>
  <c r="J56" i="4"/>
  <c r="P56" i="4" s="1"/>
  <c r="Q56" i="4" s="1"/>
  <c r="K56" i="4"/>
  <c r="L56" i="4" s="1"/>
  <c r="J57" i="4"/>
  <c r="P57" i="4" s="1"/>
  <c r="Q57" i="4" s="1"/>
  <c r="K57" i="4"/>
  <c r="L57" i="4" s="1"/>
  <c r="K48" i="4"/>
  <c r="L48" i="4" s="1"/>
  <c r="M48" i="4" s="1"/>
  <c r="J48" i="4"/>
  <c r="P48" i="4" s="1"/>
  <c r="Q48" i="4" s="1"/>
  <c r="J37" i="4"/>
  <c r="S37" i="4" s="1"/>
  <c r="T37" i="4" s="1"/>
  <c r="K37" i="4"/>
  <c r="L37" i="4" s="1"/>
  <c r="J38" i="4"/>
  <c r="S38" i="4" s="1"/>
  <c r="T38" i="4" s="1"/>
  <c r="K38" i="4"/>
  <c r="L38" i="4" s="1"/>
  <c r="O38" i="4" s="1"/>
  <c r="Q38" i="4" s="1"/>
  <c r="J39" i="4"/>
  <c r="K39" i="4"/>
  <c r="L39" i="4" s="1"/>
  <c r="O39" i="4" s="1"/>
  <c r="Q39" i="4" s="1"/>
  <c r="J40" i="4"/>
  <c r="M40" i="4" s="1"/>
  <c r="K40" i="4"/>
  <c r="L40" i="4" s="1"/>
  <c r="O40" i="4" s="1"/>
  <c r="Q40" i="4" s="1"/>
  <c r="J41" i="4"/>
  <c r="K41" i="4"/>
  <c r="L41" i="4" s="1"/>
  <c r="O41" i="4" s="1"/>
  <c r="Q41" i="4" s="1"/>
  <c r="J42" i="4"/>
  <c r="K42" i="4"/>
  <c r="L42" i="4" s="1"/>
  <c r="J43" i="4"/>
  <c r="K43" i="4"/>
  <c r="L43" i="4" s="1"/>
  <c r="J44" i="4"/>
  <c r="S44" i="4" s="1"/>
  <c r="T44" i="4" s="1"/>
  <c r="K44" i="4"/>
  <c r="L44" i="4" s="1"/>
  <c r="O44" i="4" s="1"/>
  <c r="Q44" i="4" s="1"/>
  <c r="J45" i="4"/>
  <c r="M45" i="4" s="1"/>
  <c r="K45" i="4"/>
  <c r="L45" i="4" s="1"/>
  <c r="K36" i="4"/>
  <c r="L36" i="4" s="1"/>
  <c r="J36" i="4"/>
  <c r="S36" i="4" s="1"/>
  <c r="T36" i="4" s="1"/>
  <c r="K28" i="4"/>
  <c r="K29" i="4"/>
  <c r="K30" i="4"/>
  <c r="K31" i="4"/>
  <c r="K32" i="4"/>
  <c r="J29" i="4"/>
  <c r="J30" i="4"/>
  <c r="J31" i="4"/>
  <c r="P31" i="4" s="1"/>
  <c r="J32" i="4"/>
  <c r="M32" i="4" s="1"/>
  <c r="I17" i="4"/>
  <c r="I18" i="4"/>
  <c r="I19" i="4"/>
  <c r="I20" i="4"/>
  <c r="I21" i="4"/>
  <c r="I22" i="4"/>
  <c r="I23" i="4"/>
  <c r="I24" i="4"/>
  <c r="I25" i="4"/>
  <c r="I29" i="4"/>
  <c r="I30" i="4"/>
  <c r="I31" i="4"/>
  <c r="I32" i="4"/>
  <c r="I37" i="4"/>
  <c r="I38" i="4"/>
  <c r="I39" i="4"/>
  <c r="I40" i="4"/>
  <c r="I41" i="4"/>
  <c r="I42" i="4"/>
  <c r="I43" i="4"/>
  <c r="I44" i="4"/>
  <c r="I45" i="4"/>
  <c r="I49" i="4"/>
  <c r="I50" i="4"/>
  <c r="I51" i="4"/>
  <c r="I52" i="4"/>
  <c r="I53" i="4"/>
  <c r="I54" i="4"/>
  <c r="I55" i="4"/>
  <c r="I56" i="4"/>
  <c r="I57" i="4"/>
  <c r="I61" i="4"/>
  <c r="I62" i="4"/>
  <c r="I63" i="4"/>
  <c r="I64" i="4"/>
  <c r="I65" i="4"/>
  <c r="I66" i="4"/>
  <c r="I67" i="4"/>
  <c r="I68" i="4"/>
  <c r="I69" i="4"/>
  <c r="I60" i="4"/>
  <c r="I48" i="4"/>
  <c r="I36" i="4"/>
  <c r="I28" i="4"/>
  <c r="I16" i="4"/>
  <c r="I13" i="4"/>
  <c r="I12" i="4"/>
  <c r="I11" i="4"/>
  <c r="I10" i="4"/>
  <c r="I9" i="4"/>
  <c r="A17" i="4"/>
  <c r="J17" i="4" s="1"/>
  <c r="B17" i="4"/>
  <c r="K17" i="4" s="1"/>
  <c r="A18" i="4"/>
  <c r="J18" i="4" s="1"/>
  <c r="B18" i="4"/>
  <c r="K18" i="4" s="1"/>
  <c r="A19" i="4"/>
  <c r="J19" i="4" s="1"/>
  <c r="B19" i="4"/>
  <c r="K19" i="4" s="1"/>
  <c r="A20" i="4"/>
  <c r="J20" i="4" s="1"/>
  <c r="N20" i="4" s="1"/>
  <c r="B20" i="4"/>
  <c r="K20" i="4" s="1"/>
  <c r="A21" i="4"/>
  <c r="J21" i="4" s="1"/>
  <c r="B21" i="4"/>
  <c r="K21" i="4" s="1"/>
  <c r="A22" i="4"/>
  <c r="J22" i="4" s="1"/>
  <c r="M22" i="4" s="1"/>
  <c r="D22" i="4" s="1"/>
  <c r="B22" i="4"/>
  <c r="K22" i="4" s="1"/>
  <c r="A23" i="4"/>
  <c r="J23" i="4" s="1"/>
  <c r="B23" i="4"/>
  <c r="K23" i="4" s="1"/>
  <c r="A24" i="4"/>
  <c r="J24" i="4" s="1"/>
  <c r="L24" i="4" s="1"/>
  <c r="C24" i="4" s="1"/>
  <c r="B24" i="4"/>
  <c r="K24" i="4" s="1"/>
  <c r="A25" i="4"/>
  <c r="J25" i="4" s="1"/>
  <c r="B25" i="4"/>
  <c r="K25" i="4" s="1"/>
  <c r="B16" i="4"/>
  <c r="K16" i="4" s="1"/>
  <c r="A16" i="4"/>
  <c r="J16" i="4" s="1"/>
  <c r="N16" i="4" s="1"/>
  <c r="H9" i="4"/>
  <c r="A10" i="4"/>
  <c r="J10" i="4" s="1"/>
  <c r="B10" i="4"/>
  <c r="K10" i="4" s="1"/>
  <c r="A11" i="4"/>
  <c r="F11" i="4" s="1"/>
  <c r="B11" i="4"/>
  <c r="K11" i="4" s="1"/>
  <c r="A12" i="4"/>
  <c r="J12" i="4" s="1"/>
  <c r="B12" i="4"/>
  <c r="C12" i="4" s="1"/>
  <c r="A13" i="4"/>
  <c r="F13" i="4" s="1"/>
  <c r="B13" i="4"/>
  <c r="K13" i="4" s="1"/>
  <c r="B9" i="4"/>
  <c r="D9" i="4" s="1"/>
  <c r="A9" i="4"/>
  <c r="J9" i="4" s="1"/>
  <c r="AD9" i="4" s="1"/>
  <c r="B3" i="4"/>
  <c r="F108" i="1"/>
  <c r="B101" i="1"/>
  <c r="B93" i="1"/>
  <c r="AA93" i="1" s="1"/>
  <c r="K92" i="1"/>
  <c r="G92" i="1"/>
  <c r="B92" i="1"/>
  <c r="AA92" i="1" s="1"/>
  <c r="B91" i="1"/>
  <c r="AA91" i="1" s="1"/>
  <c r="B90" i="1"/>
  <c r="AL90" i="1" s="1"/>
  <c r="G89" i="1"/>
  <c r="H89" i="1"/>
  <c r="I89" i="1" s="1"/>
  <c r="B89" i="1"/>
  <c r="AL89" i="1" s="1"/>
  <c r="G88" i="1"/>
  <c r="H88" i="1"/>
  <c r="K88" i="1" s="1"/>
  <c r="B88" i="1"/>
  <c r="AA88" i="1" s="1"/>
  <c r="G87" i="1"/>
  <c r="H87" i="1"/>
  <c r="I87" i="1" s="1"/>
  <c r="B87" i="1"/>
  <c r="Z87" i="1" s="1"/>
  <c r="L122" i="1"/>
  <c r="L125" i="1" s="1"/>
  <c r="P125" i="1" s="1"/>
  <c r="P128" i="1"/>
  <c r="AL110" i="1"/>
  <c r="AL109" i="1"/>
  <c r="B108" i="1"/>
  <c r="Z108" i="1"/>
  <c r="AD108" i="1"/>
  <c r="D149" i="1"/>
  <c r="D150" i="1" s="1"/>
  <c r="D137" i="1"/>
  <c r="D138" i="1" s="1"/>
  <c r="N108" i="1"/>
  <c r="S108" i="1"/>
  <c r="G108" i="1"/>
  <c r="K108" i="1"/>
  <c r="I108" i="1"/>
  <c r="B107" i="1"/>
  <c r="AL107" i="1" s="1"/>
  <c r="AD107" i="1"/>
  <c r="N107" i="1"/>
  <c r="S107" i="1"/>
  <c r="G107" i="1"/>
  <c r="K107" i="1"/>
  <c r="I107" i="1"/>
  <c r="B106" i="1"/>
  <c r="AL106" i="1" s="1"/>
  <c r="AD106" i="1"/>
  <c r="N106" i="1"/>
  <c r="S106" i="1"/>
  <c r="G106" i="1"/>
  <c r="K106" i="1"/>
  <c r="I106" i="1"/>
  <c r="B105" i="1"/>
  <c r="Z105" i="1" s="1"/>
  <c r="AD105" i="1"/>
  <c r="N105" i="1"/>
  <c r="S105" i="1"/>
  <c r="G105" i="1"/>
  <c r="K105" i="1"/>
  <c r="I105" i="1"/>
  <c r="N104" i="1"/>
  <c r="S104" i="1"/>
  <c r="G104" i="1"/>
  <c r="K104" i="1"/>
  <c r="I104" i="1"/>
  <c r="N103" i="1"/>
  <c r="S103" i="1"/>
  <c r="G103" i="1"/>
  <c r="K103" i="1"/>
  <c r="I103" i="1"/>
  <c r="N102" i="1"/>
  <c r="D134" i="1"/>
  <c r="E134" i="1" s="1"/>
  <c r="S102" i="1"/>
  <c r="G102" i="1"/>
  <c r="K102" i="1"/>
  <c r="I102" i="1"/>
  <c r="N101" i="1"/>
  <c r="S101" i="1"/>
  <c r="G101" i="1"/>
  <c r="B100" i="1"/>
  <c r="AA100" i="1" s="1"/>
  <c r="N100" i="1"/>
  <c r="S100" i="1"/>
  <c r="G100" i="1"/>
  <c r="B99" i="1"/>
  <c r="AA99" i="1" s="1"/>
  <c r="N99" i="1"/>
  <c r="S99" i="1"/>
  <c r="G99" i="1"/>
  <c r="B98" i="1"/>
  <c r="AA98" i="1" s="1"/>
  <c r="S98" i="1"/>
  <c r="G98" i="1"/>
  <c r="B97" i="1"/>
  <c r="AA97" i="1" s="1"/>
  <c r="S97" i="1"/>
  <c r="G97" i="1"/>
  <c r="B96" i="1"/>
  <c r="AA96" i="1" s="1"/>
  <c r="S96" i="1"/>
  <c r="G96" i="1"/>
  <c r="K96" i="1"/>
  <c r="B95" i="1"/>
  <c r="AA95" i="1" s="1"/>
  <c r="S95" i="1"/>
  <c r="G95" i="1"/>
  <c r="K95" i="1"/>
  <c r="B94" i="1"/>
  <c r="AA94" i="1" s="1"/>
  <c r="S94" i="1"/>
  <c r="G94" i="1"/>
  <c r="K94" i="1"/>
  <c r="S93" i="1"/>
  <c r="G93" i="1"/>
  <c r="K93" i="1"/>
  <c r="AI92" i="1"/>
  <c r="N92" i="1" s="1"/>
  <c r="S92" i="1"/>
  <c r="S91" i="1"/>
  <c r="P18" i="1" s="1"/>
  <c r="G91" i="1"/>
  <c r="H91" i="1"/>
  <c r="K91" i="1" s="1"/>
  <c r="S90" i="1"/>
  <c r="P17" i="1" s="1"/>
  <c r="G90" i="1"/>
  <c r="H90" i="1"/>
  <c r="K90" i="1" s="1"/>
  <c r="S89" i="1"/>
  <c r="P16" i="1" s="1"/>
  <c r="S88" i="1"/>
  <c r="P15" i="1" s="1"/>
  <c r="S87" i="1"/>
  <c r="P14" i="1" s="1"/>
  <c r="Q33" i="1"/>
  <c r="P33" i="1" s="1"/>
  <c r="Q34" i="1"/>
  <c r="P34" i="1" s="1"/>
  <c r="Q35" i="1"/>
  <c r="P35" i="1" s="1"/>
  <c r="Q36" i="1"/>
  <c r="P36" i="1" s="1"/>
  <c r="Q37" i="1"/>
  <c r="P37" i="1" s="1"/>
  <c r="Q38" i="1"/>
  <c r="P38" i="1" s="1"/>
  <c r="Q41" i="1"/>
  <c r="P41" i="1" s="1"/>
  <c r="Q42" i="1"/>
  <c r="P42" i="1" s="1"/>
  <c r="Q43" i="1"/>
  <c r="P43" i="1" s="1"/>
  <c r="Q44" i="1"/>
  <c r="P44" i="1" s="1"/>
  <c r="Q45" i="1"/>
  <c r="P45" i="1" s="1"/>
  <c r="Q46" i="1"/>
  <c r="P46" i="1" s="1"/>
  <c r="Q47" i="1"/>
  <c r="P47" i="1" s="1"/>
  <c r="Q48" i="1"/>
  <c r="P48" i="1" s="1"/>
  <c r="Q49" i="1"/>
  <c r="P49" i="1" s="1"/>
  <c r="Q50" i="1"/>
  <c r="P50" i="1" s="1"/>
  <c r="Q53" i="1"/>
  <c r="P53" i="1" s="1"/>
  <c r="Q54" i="1"/>
  <c r="P54" i="1" s="1"/>
  <c r="Q55" i="1"/>
  <c r="P55" i="1" s="1"/>
  <c r="Q56" i="1"/>
  <c r="P56" i="1" s="1"/>
  <c r="Q57" i="1"/>
  <c r="P57" i="1" s="1"/>
  <c r="Q58" i="1"/>
  <c r="P58" i="1" s="1"/>
  <c r="Q59" i="1"/>
  <c r="P59" i="1" s="1"/>
  <c r="Q60" i="1"/>
  <c r="P60" i="1" s="1"/>
  <c r="Q61" i="1"/>
  <c r="P61" i="1" s="1"/>
  <c r="Q62" i="1"/>
  <c r="P62" i="1" s="1"/>
  <c r="Q65" i="1"/>
  <c r="P65" i="1" s="1"/>
  <c r="Q66" i="1"/>
  <c r="P66" i="1" s="1"/>
  <c r="Q67" i="1"/>
  <c r="P67" i="1" s="1"/>
  <c r="Q68" i="1"/>
  <c r="P68" i="1" s="1"/>
  <c r="Q69" i="1"/>
  <c r="P69" i="1" s="1"/>
  <c r="Q70" i="1"/>
  <c r="P70" i="1" s="1"/>
  <c r="Q71" i="1"/>
  <c r="P71" i="1" s="1"/>
  <c r="Q72" i="1"/>
  <c r="P72" i="1" s="1"/>
  <c r="Q73" i="1"/>
  <c r="P73" i="1" s="1"/>
  <c r="Q74" i="1"/>
  <c r="P74" i="1" s="1"/>
  <c r="P76" i="1"/>
  <c r="O15" i="1"/>
  <c r="O16" i="1"/>
  <c r="O17" i="1"/>
  <c r="O18" i="1"/>
  <c r="O22" i="1"/>
  <c r="O23" i="1"/>
  <c r="O24" i="1"/>
  <c r="O25" i="1"/>
  <c r="O26" i="1"/>
  <c r="O27" i="1"/>
  <c r="O28" i="1"/>
  <c r="O29" i="1"/>
  <c r="O30" i="1"/>
  <c r="O36" i="1"/>
  <c r="O37" i="1"/>
  <c r="O38" i="1"/>
  <c r="Q7" i="1"/>
  <c r="R7" i="1" s="1"/>
  <c r="R8" i="1" s="1"/>
  <c r="AR14" i="1"/>
  <c r="AQ14" i="1"/>
  <c r="AR8" i="1"/>
  <c r="AS7" i="1"/>
  <c r="AR7" i="1"/>
  <c r="AS6" i="1"/>
  <c r="AR6" i="1"/>
  <c r="AS5" i="1"/>
  <c r="AR5" i="1"/>
  <c r="J121" i="1"/>
  <c r="J126" i="1" s="1"/>
  <c r="I121" i="1"/>
  <c r="I126" i="1" s="1"/>
  <c r="J125" i="1"/>
  <c r="I125" i="1"/>
  <c r="J124" i="1"/>
  <c r="I124" i="1"/>
  <c r="L74" i="1"/>
  <c r="L73" i="1"/>
  <c r="L62" i="1"/>
  <c r="F148" i="1"/>
  <c r="E148" i="1"/>
  <c r="F109" i="1"/>
  <c r="K122" i="1"/>
  <c r="K131" i="1" s="1"/>
  <c r="N131" i="1" s="1"/>
  <c r="G124" i="1"/>
  <c r="E125" i="1"/>
  <c r="G125" i="1"/>
  <c r="G120" i="1" s="1"/>
  <c r="E126" i="1"/>
  <c r="G126" i="1"/>
  <c r="E127" i="1"/>
  <c r="G127" i="1"/>
  <c r="E128" i="1"/>
  <c r="N128" i="1"/>
  <c r="E129" i="1"/>
  <c r="G129" i="1"/>
  <c r="E130" i="1"/>
  <c r="G130" i="1"/>
  <c r="G131" i="1"/>
  <c r="G132" i="1"/>
  <c r="G133" i="1"/>
  <c r="F135" i="1"/>
  <c r="E136" i="1"/>
  <c r="F136" i="1"/>
  <c r="F137" i="1"/>
  <c r="F138" i="1"/>
  <c r="F139" i="1"/>
  <c r="F140" i="1"/>
  <c r="F141" i="1"/>
  <c r="F142" i="1"/>
  <c r="F143" i="1"/>
  <c r="F144" i="1"/>
  <c r="F146" i="1"/>
  <c r="E147" i="1"/>
  <c r="F147" i="1"/>
  <c r="F149" i="1"/>
  <c r="F150" i="1"/>
  <c r="E152" i="1"/>
  <c r="E153" i="1"/>
  <c r="E154" i="1"/>
  <c r="E155" i="1"/>
  <c r="E156" i="1"/>
  <c r="E157" i="1"/>
  <c r="E158" i="1"/>
  <c r="E159" i="1"/>
  <c r="E133" i="1"/>
  <c r="N124" i="1"/>
  <c r="N127" i="1"/>
  <c r="N125" i="1"/>
  <c r="N126" i="1"/>
  <c r="L129" i="1"/>
  <c r="P129" i="1" s="1"/>
  <c r="L133" i="1"/>
  <c r="P133" i="1" s="1"/>
  <c r="L127" i="1"/>
  <c r="P127" i="1" s="1"/>
  <c r="L131" i="1"/>
  <c r="P131" i="1" s="1"/>
  <c r="L130" i="1"/>
  <c r="P130" i="1" s="1"/>
  <c r="M95" i="1"/>
  <c r="AL95" i="1"/>
  <c r="AL108" i="1"/>
  <c r="L124" i="1"/>
  <c r="P124" i="1" s="1"/>
  <c r="E149" i="1"/>
  <c r="W93" i="1"/>
  <c r="K130" i="1"/>
  <c r="N130" i="1" s="1"/>
  <c r="L69" i="4" l="1"/>
  <c r="M69" i="4" s="1"/>
  <c r="O64" i="4"/>
  <c r="O55" i="4"/>
  <c r="N68" i="4"/>
  <c r="N69" i="4"/>
  <c r="M43" i="4"/>
  <c r="M41" i="4"/>
  <c r="M39" i="4"/>
  <c r="R44" i="4"/>
  <c r="S40" i="4"/>
  <c r="T40" i="4" s="1"/>
  <c r="R38" i="4"/>
  <c r="U30" i="4"/>
  <c r="X29" i="4"/>
  <c r="M38" i="4"/>
  <c r="P38" i="4"/>
  <c r="Z93" i="1"/>
  <c r="R22" i="4"/>
  <c r="S22" i="4" s="1"/>
  <c r="Z99" i="1"/>
  <c r="AL99" i="1"/>
  <c r="W99" i="1"/>
  <c r="Z95" i="1"/>
  <c r="AL94" i="1"/>
  <c r="W94" i="1"/>
  <c r="Z89" i="1"/>
  <c r="I90" i="1"/>
  <c r="Z92" i="1"/>
  <c r="Q97" i="1"/>
  <c r="P26" i="1" s="1"/>
  <c r="M90" i="1"/>
  <c r="O53" i="4"/>
  <c r="M99" i="1"/>
  <c r="N67" i="4"/>
  <c r="S39" i="4"/>
  <c r="T39" i="4" s="1"/>
  <c r="Y99" i="1"/>
  <c r="M108" i="1"/>
  <c r="P108" i="1" s="1"/>
  <c r="Q95" i="1"/>
  <c r="P24" i="1" s="1"/>
  <c r="M94" i="1"/>
  <c r="Q91" i="1"/>
  <c r="M101" i="1"/>
  <c r="M96" i="1"/>
  <c r="E131" i="1"/>
  <c r="M93" i="1"/>
  <c r="M97" i="1"/>
  <c r="N64" i="4"/>
  <c r="M36" i="4"/>
  <c r="S43" i="4"/>
  <c r="T43" i="4" s="1"/>
  <c r="R20" i="4"/>
  <c r="S20" i="4" s="1"/>
  <c r="L68" i="4"/>
  <c r="M68" i="4" s="1"/>
  <c r="X16" i="1"/>
  <c r="L67" i="4"/>
  <c r="M67" i="4" s="1"/>
  <c r="O56" i="4"/>
  <c r="S45" i="4"/>
  <c r="T45" i="4" s="1"/>
  <c r="I91" i="1"/>
  <c r="L52" i="4"/>
  <c r="N66" i="4"/>
  <c r="O66" i="4"/>
  <c r="L63" i="4"/>
  <c r="M63" i="4" s="1"/>
  <c r="P44" i="4"/>
  <c r="S41" i="4"/>
  <c r="T41" i="4" s="1"/>
  <c r="M44" i="4"/>
  <c r="N44" i="4"/>
  <c r="N41" i="4"/>
  <c r="N54" i="4"/>
  <c r="M42" i="4"/>
  <c r="O54" i="4"/>
  <c r="P39" i="4"/>
  <c r="P41" i="4"/>
  <c r="R40" i="4"/>
  <c r="O57" i="4"/>
  <c r="L65" i="4"/>
  <c r="M65" i="4" s="1"/>
  <c r="R23" i="4"/>
  <c r="S23" i="4" s="1"/>
  <c r="R17" i="4"/>
  <c r="S17" i="4" s="1"/>
  <c r="P40" i="4"/>
  <c r="S42" i="4"/>
  <c r="T42" i="4" s="1"/>
  <c r="N39" i="4"/>
  <c r="N40" i="4"/>
  <c r="R39" i="4"/>
  <c r="R41" i="4"/>
  <c r="O65" i="4"/>
  <c r="M55" i="4"/>
  <c r="N55" i="4"/>
  <c r="N56" i="4"/>
  <c r="M56" i="4"/>
  <c r="N53" i="4"/>
  <c r="M53" i="4"/>
  <c r="O42" i="4"/>
  <c r="Q42" i="4" s="1"/>
  <c r="R42" i="4" s="1"/>
  <c r="N42" i="4"/>
  <c r="O45" i="4"/>
  <c r="Q45" i="4" s="1"/>
  <c r="R45" i="4" s="1"/>
  <c r="N45" i="4"/>
  <c r="N43" i="4"/>
  <c r="O43" i="4"/>
  <c r="Q43" i="4" s="1"/>
  <c r="R43" i="4" s="1"/>
  <c r="N57" i="4"/>
  <c r="M57" i="4"/>
  <c r="R21" i="4"/>
  <c r="S21" i="4" s="1"/>
  <c r="Q21" i="4"/>
  <c r="I88" i="1"/>
  <c r="Z97" i="1"/>
  <c r="W96" i="1"/>
  <c r="W95" i="1"/>
  <c r="X98" i="1"/>
  <c r="Z98" i="1"/>
  <c r="W98" i="1"/>
  <c r="X93" i="1"/>
  <c r="N60" i="4"/>
  <c r="N38" i="4"/>
  <c r="R19" i="4"/>
  <c r="S19" i="4" s="1"/>
  <c r="Q20" i="4"/>
  <c r="M20" i="4"/>
  <c r="D20" i="4" s="1"/>
  <c r="L20" i="4"/>
  <c r="C20" i="4" s="1"/>
  <c r="Y96" i="1"/>
  <c r="Y95" i="1"/>
  <c r="Z94" i="1"/>
  <c r="X94" i="1"/>
  <c r="X92" i="1"/>
  <c r="I127" i="1"/>
  <c r="AB18" i="1"/>
  <c r="AR91" i="1" s="1"/>
  <c r="Z90" i="1"/>
  <c r="W87" i="1"/>
  <c r="X17" i="1"/>
  <c r="W89" i="1"/>
  <c r="Z91" i="1"/>
  <c r="AL91" i="1"/>
  <c r="I181" i="1"/>
  <c r="D132" i="1"/>
  <c r="M102" i="1" s="1"/>
  <c r="F12" i="4"/>
  <c r="E12" i="4"/>
  <c r="W91" i="1"/>
  <c r="AL88" i="1"/>
  <c r="Q92" i="1"/>
  <c r="P21" i="1" s="1"/>
  <c r="Q93" i="1"/>
  <c r="P22" i="1" s="1"/>
  <c r="Q107" i="1"/>
  <c r="Q100" i="1"/>
  <c r="P29" i="1" s="1"/>
  <c r="M91" i="1"/>
  <c r="Q98" i="1"/>
  <c r="P27" i="1" s="1"/>
  <c r="M89" i="1"/>
  <c r="AS91" i="1"/>
  <c r="Q101" i="1"/>
  <c r="P30" i="1" s="1"/>
  <c r="Q96" i="1"/>
  <c r="P25" i="1" s="1"/>
  <c r="Q104" i="1"/>
  <c r="M98" i="1"/>
  <c r="Q90" i="1"/>
  <c r="M106" i="1"/>
  <c r="P106" i="1" s="1"/>
  <c r="Q108" i="1"/>
  <c r="Q99" i="1"/>
  <c r="P28" i="1" s="1"/>
  <c r="E137" i="1"/>
  <c r="Q94" i="1"/>
  <c r="P23" i="1" s="1"/>
  <c r="M100" i="1"/>
  <c r="Q32" i="4"/>
  <c r="P32" i="4"/>
  <c r="I225" i="1"/>
  <c r="I226" i="1"/>
  <c r="H230" i="1"/>
  <c r="I227" i="1"/>
  <c r="H226" i="1"/>
  <c r="H225" i="1"/>
  <c r="I230" i="1"/>
  <c r="I229" i="1"/>
  <c r="H228" i="1"/>
  <c r="H229" i="1"/>
  <c r="I228" i="1"/>
  <c r="H227" i="1"/>
  <c r="E227" i="1" s="1"/>
  <c r="W104" i="1" s="1"/>
  <c r="L35" i="1" s="1"/>
  <c r="S35" i="1" s="1"/>
  <c r="T35" i="1" s="1"/>
  <c r="X104" i="1"/>
  <c r="U133" i="1"/>
  <c r="J127" i="1"/>
  <c r="G143" i="1"/>
  <c r="G139" i="1"/>
  <c r="U132" i="1"/>
  <c r="H178" i="1"/>
  <c r="AS88" i="1"/>
  <c r="G149" i="1"/>
  <c r="G144" i="1"/>
  <c r="G148" i="1"/>
  <c r="G138" i="1"/>
  <c r="G136" i="1"/>
  <c r="G140" i="1"/>
  <c r="G150" i="1"/>
  <c r="G146" i="1"/>
  <c r="G137" i="1"/>
  <c r="AS87" i="1"/>
  <c r="U131" i="1"/>
  <c r="AS101" i="1"/>
  <c r="AU101" i="1" s="1"/>
  <c r="F101" i="1" s="1"/>
  <c r="AS99" i="1"/>
  <c r="AU99" i="1" s="1"/>
  <c r="F99" i="1" s="1"/>
  <c r="AS97" i="1"/>
  <c r="AU97" i="1" s="1"/>
  <c r="F97" i="1" s="1"/>
  <c r="T97" i="1" s="1"/>
  <c r="T26" i="1" s="1"/>
  <c r="AS95" i="1"/>
  <c r="AU95" i="1" s="1"/>
  <c r="AS93" i="1"/>
  <c r="AU93" i="1" s="1"/>
  <c r="J181" i="1"/>
  <c r="W108" i="1"/>
  <c r="AS90" i="1"/>
  <c r="U129" i="1"/>
  <c r="AQ97" i="1" s="1"/>
  <c r="AP97" i="1" s="1"/>
  <c r="U130" i="1"/>
  <c r="AS92" i="1"/>
  <c r="AU92" i="1" s="1"/>
  <c r="G141" i="1"/>
  <c r="G147" i="1"/>
  <c r="G142" i="1"/>
  <c r="G135" i="1"/>
  <c r="AS100" i="1"/>
  <c r="AU100" i="1" s="1"/>
  <c r="F100" i="1" s="1"/>
  <c r="U100" i="1" s="1"/>
  <c r="AS98" i="1"/>
  <c r="AU98" i="1" s="1"/>
  <c r="F98" i="1" s="1"/>
  <c r="AS96" i="1"/>
  <c r="AU96" i="1" s="1"/>
  <c r="AS94" i="1"/>
  <c r="AU94" i="1" s="1"/>
  <c r="E8" i="1"/>
  <c r="L76" i="1"/>
  <c r="X87" i="1"/>
  <c r="W88" i="1"/>
  <c r="J176" i="1"/>
  <c r="AA87" i="1"/>
  <c r="AK17" i="1"/>
  <c r="AT90" i="1" s="1"/>
  <c r="Z88" i="1"/>
  <c r="J180" i="1"/>
  <c r="Q18" i="4"/>
  <c r="M18" i="4"/>
  <c r="D18" i="4" s="1"/>
  <c r="L18" i="4"/>
  <c r="C18" i="4" s="1"/>
  <c r="N18" i="4"/>
  <c r="N19" i="4"/>
  <c r="L19" i="4"/>
  <c r="C19" i="4" s="1"/>
  <c r="M19" i="4"/>
  <c r="D19" i="4" s="1"/>
  <c r="Z101" i="1"/>
  <c r="AA101" i="1"/>
  <c r="R24" i="4"/>
  <c r="S24" i="4" s="1"/>
  <c r="X101" i="1"/>
  <c r="N21" i="4"/>
  <c r="W100" i="1"/>
  <c r="W97" i="1"/>
  <c r="AL101" i="1"/>
  <c r="R18" i="4"/>
  <c r="S18" i="4" s="1"/>
  <c r="Q22" i="4"/>
  <c r="X100" i="1"/>
  <c r="X96" i="1"/>
  <c r="Y92" i="1"/>
  <c r="Y98" i="1"/>
  <c r="Y94" i="1"/>
  <c r="Y100" i="1"/>
  <c r="W101" i="1"/>
  <c r="N24" i="4"/>
  <c r="X97" i="1"/>
  <c r="N22" i="4"/>
  <c r="Z100" i="1"/>
  <c r="AL97" i="1"/>
  <c r="M24" i="4"/>
  <c r="D24" i="4" s="1"/>
  <c r="X99" i="1"/>
  <c r="X95" i="1"/>
  <c r="Y101" i="1"/>
  <c r="Y97" i="1"/>
  <c r="Y93" i="1"/>
  <c r="Z106" i="1"/>
  <c r="Z107" i="1"/>
  <c r="L32" i="4"/>
  <c r="N32" i="4" s="1"/>
  <c r="W32" i="4"/>
  <c r="Z103" i="1"/>
  <c r="O32" i="4"/>
  <c r="N37" i="4"/>
  <c r="M51" i="4"/>
  <c r="N51" i="4"/>
  <c r="O51" i="4"/>
  <c r="O63" i="4"/>
  <c r="L62" i="4"/>
  <c r="M62" i="4" s="1"/>
  <c r="O60" i="4"/>
  <c r="Q16" i="4"/>
  <c r="M16" i="4"/>
  <c r="D16" i="4" s="1"/>
  <c r="H180" i="1"/>
  <c r="AK18" i="1"/>
  <c r="AT91" i="1" s="1"/>
  <c r="D12" i="4"/>
  <c r="H179" i="1"/>
  <c r="I180" i="1"/>
  <c r="W90" i="1"/>
  <c r="AA90" i="1"/>
  <c r="I179" i="1"/>
  <c r="J179" i="1"/>
  <c r="I178" i="1"/>
  <c r="J178" i="1"/>
  <c r="H177" i="1"/>
  <c r="I177" i="1"/>
  <c r="J177" i="1"/>
  <c r="I176" i="1"/>
  <c r="H176" i="1"/>
  <c r="AB12" i="4"/>
  <c r="AA12" i="4" s="1"/>
  <c r="T12" i="4" s="1"/>
  <c r="U12" i="4" s="1"/>
  <c r="AB16" i="1"/>
  <c r="AR89" i="1" s="1"/>
  <c r="AB14" i="1"/>
  <c r="AR87" i="1" s="1"/>
  <c r="AK14" i="1"/>
  <c r="AT87" i="1" s="1"/>
  <c r="K12" i="4"/>
  <c r="L12" i="4" s="1"/>
  <c r="M12" i="4" s="1"/>
  <c r="AB17" i="1"/>
  <c r="AR90" i="1" s="1"/>
  <c r="C11" i="4"/>
  <c r="J11" i="4"/>
  <c r="AD11" i="4" s="1"/>
  <c r="K89" i="1"/>
  <c r="AK15" i="1"/>
  <c r="AT88" i="1" s="1"/>
  <c r="AB15" i="1"/>
  <c r="AR88" i="1" s="1"/>
  <c r="K87" i="1"/>
  <c r="X32" i="4"/>
  <c r="T32" i="4"/>
  <c r="S32" i="4"/>
  <c r="U32" i="4"/>
  <c r="V32" i="4"/>
  <c r="R32" i="4"/>
  <c r="F102" i="1"/>
  <c r="P30" i="4"/>
  <c r="O30" i="4"/>
  <c r="O29" i="4"/>
  <c r="S29" i="4"/>
  <c r="W28" i="4"/>
  <c r="M28" i="4"/>
  <c r="X107" i="1"/>
  <c r="Y107" i="1"/>
  <c r="O33" i="4"/>
  <c r="S33" i="4"/>
  <c r="X33" i="4"/>
  <c r="P33" i="4"/>
  <c r="M31" i="4"/>
  <c r="L31" i="4"/>
  <c r="N31" i="4" s="1"/>
  <c r="T31" i="4"/>
  <c r="U105" i="1"/>
  <c r="Q31" i="4"/>
  <c r="M30" i="4"/>
  <c r="X30" i="4"/>
  <c r="U103" i="1"/>
  <c r="R28" i="4"/>
  <c r="P28" i="4"/>
  <c r="O48" i="4"/>
  <c r="N62" i="4"/>
  <c r="O61" i="4"/>
  <c r="N61" i="4"/>
  <c r="L50" i="4"/>
  <c r="L49" i="4"/>
  <c r="N48" i="4"/>
  <c r="M37" i="4"/>
  <c r="O37" i="4"/>
  <c r="O36" i="4"/>
  <c r="Q36" i="4" s="1"/>
  <c r="N36" i="4"/>
  <c r="R36" i="4"/>
  <c r="R30" i="4"/>
  <c r="V30" i="4"/>
  <c r="U104" i="1"/>
  <c r="X103" i="1"/>
  <c r="X28" i="4"/>
  <c r="R33" i="4"/>
  <c r="L33" i="4"/>
  <c r="N33" i="4" s="1"/>
  <c r="U33" i="4"/>
  <c r="M33" i="4"/>
  <c r="W33" i="4"/>
  <c r="T33" i="4"/>
  <c r="V33" i="4"/>
  <c r="R31" i="4"/>
  <c r="O31" i="4"/>
  <c r="S31" i="4"/>
  <c r="W31" i="4"/>
  <c r="V31" i="4"/>
  <c r="U31" i="4"/>
  <c r="X31" i="4"/>
  <c r="T30" i="4"/>
  <c r="W30" i="4"/>
  <c r="L30" i="4"/>
  <c r="N30" i="4" s="1"/>
  <c r="Q30" i="4"/>
  <c r="S30" i="4"/>
  <c r="P29" i="4"/>
  <c r="V29" i="4"/>
  <c r="U29" i="4"/>
  <c r="T29" i="4"/>
  <c r="L29" i="4"/>
  <c r="N29" i="4" s="1"/>
  <c r="R29" i="4"/>
  <c r="M29" i="4"/>
  <c r="W29" i="4"/>
  <c r="Q29" i="4"/>
  <c r="U28" i="4"/>
  <c r="L28" i="4"/>
  <c r="N28" i="4" s="1"/>
  <c r="T28" i="4"/>
  <c r="S28" i="4"/>
  <c r="V28" i="4"/>
  <c r="O28" i="4"/>
  <c r="R106" i="1"/>
  <c r="Y106" i="1"/>
  <c r="AL105" i="1"/>
  <c r="X105" i="1"/>
  <c r="Y104" i="1"/>
  <c r="Z104" i="1"/>
  <c r="Y103" i="1"/>
  <c r="AA102" i="1"/>
  <c r="Z102" i="1"/>
  <c r="R25" i="4"/>
  <c r="S25" i="4" s="1"/>
  <c r="M25" i="4"/>
  <c r="D25" i="4" s="1"/>
  <c r="Q25" i="4"/>
  <c r="L25" i="4"/>
  <c r="C25" i="4" s="1"/>
  <c r="N25" i="4"/>
  <c r="AL100" i="1"/>
  <c r="Q24" i="4"/>
  <c r="M23" i="4"/>
  <c r="D23" i="4" s="1"/>
  <c r="Q23" i="4"/>
  <c r="N23" i="4"/>
  <c r="L23" i="4"/>
  <c r="C23" i="4" s="1"/>
  <c r="L22" i="4"/>
  <c r="C22" i="4" s="1"/>
  <c r="AL98" i="1"/>
  <c r="M21" i="4"/>
  <c r="D21" i="4" s="1"/>
  <c r="L21" i="4"/>
  <c r="C21" i="4" s="1"/>
  <c r="AL96" i="1"/>
  <c r="Z96" i="1"/>
  <c r="Q19" i="4"/>
  <c r="Q17" i="4"/>
  <c r="N17" i="4"/>
  <c r="M17" i="4"/>
  <c r="D17" i="4" s="1"/>
  <c r="L17" i="4"/>
  <c r="C17" i="4" s="1"/>
  <c r="AL93" i="1"/>
  <c r="R16" i="4"/>
  <c r="S16" i="4" s="1"/>
  <c r="L16" i="4"/>
  <c r="C16" i="4" s="1"/>
  <c r="R13" i="4"/>
  <c r="N13" i="4"/>
  <c r="L13" i="4"/>
  <c r="P13" i="4"/>
  <c r="X18" i="1"/>
  <c r="D13" i="4"/>
  <c r="C13" i="4"/>
  <c r="E13" i="4"/>
  <c r="J13" i="4"/>
  <c r="W92" i="1"/>
  <c r="AL92" i="1"/>
  <c r="L126" i="1"/>
  <c r="P126" i="1" s="1"/>
  <c r="L132" i="1"/>
  <c r="P132" i="1" s="1"/>
  <c r="U107" i="1"/>
  <c r="K132" i="1"/>
  <c r="N132" i="1" s="1"/>
  <c r="K129" i="1"/>
  <c r="N129" i="1" s="1"/>
  <c r="K133" i="1"/>
  <c r="N133" i="1" s="1"/>
  <c r="Y108" i="1"/>
  <c r="X108" i="1"/>
  <c r="U108" i="1"/>
  <c r="Y105" i="1"/>
  <c r="X106" i="1"/>
  <c r="X15" i="1"/>
  <c r="AD12" i="4"/>
  <c r="E11" i="4"/>
  <c r="O77" i="1"/>
  <c r="L77" i="1" s="1"/>
  <c r="S77" i="1" s="1"/>
  <c r="E10" i="4"/>
  <c r="AA89" i="1"/>
  <c r="R11" i="4"/>
  <c r="P11" i="4"/>
  <c r="L11" i="4"/>
  <c r="N11" i="4"/>
  <c r="D11" i="4"/>
  <c r="P10" i="4"/>
  <c r="Q10" i="4" s="1"/>
  <c r="L10" i="4"/>
  <c r="N10" i="4"/>
  <c r="O10" i="4" s="1"/>
  <c r="R10" i="4"/>
  <c r="S10" i="4" s="1"/>
  <c r="D10" i="4"/>
  <c r="C10" i="4"/>
  <c r="AD10" i="4"/>
  <c r="AB10" i="4"/>
  <c r="AA10" i="4" s="1"/>
  <c r="T10" i="4" s="1"/>
  <c r="U10" i="4" s="1"/>
  <c r="M10" i="4"/>
  <c r="F10" i="4"/>
  <c r="E9" i="4"/>
  <c r="F9" i="4"/>
  <c r="K9" i="4"/>
  <c r="N9" i="4" s="1"/>
  <c r="O9" i="4" s="1"/>
  <c r="C9" i="4"/>
  <c r="X14" i="1"/>
  <c r="U106" i="1"/>
  <c r="R108" i="1"/>
  <c r="R104" i="1"/>
  <c r="R105" i="1"/>
  <c r="R107" i="1"/>
  <c r="R103" i="1"/>
  <c r="O40" i="1"/>
  <c r="AB9" i="4"/>
  <c r="AA9" i="4" s="1"/>
  <c r="T9" i="4" s="1"/>
  <c r="U9" i="4" s="1"/>
  <c r="AL87" i="1"/>
  <c r="D151" i="1"/>
  <c r="E151" i="1" s="1"/>
  <c r="E150" i="1"/>
  <c r="E138" i="1"/>
  <c r="D139" i="1"/>
  <c r="P43" i="4" l="1"/>
  <c r="P42" i="4"/>
  <c r="P36" i="4"/>
  <c r="P45" i="4"/>
  <c r="E225" i="1"/>
  <c r="W102" i="1" s="1"/>
  <c r="L33" i="1" s="1"/>
  <c r="S33" i="1" s="1"/>
  <c r="T33" i="1" s="1"/>
  <c r="E230" i="1"/>
  <c r="W107" i="1" s="1"/>
  <c r="L38" i="1" s="1"/>
  <c r="S38" i="1" s="1"/>
  <c r="T38" i="1" s="1"/>
  <c r="Q103" i="1"/>
  <c r="M104" i="1"/>
  <c r="T104" i="1" s="1"/>
  <c r="Q106" i="1"/>
  <c r="M103" i="1"/>
  <c r="P103" i="1" s="1"/>
  <c r="Q105" i="1"/>
  <c r="M105" i="1"/>
  <c r="T105" i="1" s="1"/>
  <c r="M87" i="1"/>
  <c r="Q102" i="1"/>
  <c r="M107" i="1"/>
  <c r="E178" i="1"/>
  <c r="N89" i="1" s="1"/>
  <c r="R89" i="1" s="1"/>
  <c r="L16" i="1" s="1"/>
  <c r="T108" i="1"/>
  <c r="T101" i="1"/>
  <c r="T30" i="1" s="1"/>
  <c r="P99" i="1"/>
  <c r="L28" i="1" s="1"/>
  <c r="N52" i="4"/>
  <c r="M52" i="4"/>
  <c r="T106" i="1"/>
  <c r="T99" i="1"/>
  <c r="T28" i="1" s="1"/>
  <c r="U99" i="1"/>
  <c r="P100" i="1"/>
  <c r="L29" i="1" s="1"/>
  <c r="R100" i="1"/>
  <c r="E180" i="1"/>
  <c r="N91" i="1" s="1"/>
  <c r="R91" i="1" s="1"/>
  <c r="L18" i="1" s="1"/>
  <c r="E179" i="1"/>
  <c r="N90" i="1" s="1"/>
  <c r="U90" i="1" s="1"/>
  <c r="T17" i="1" s="1"/>
  <c r="P12" i="4"/>
  <c r="Q12" i="4" s="1"/>
  <c r="P97" i="1"/>
  <c r="L26" i="1" s="1"/>
  <c r="P77" i="1"/>
  <c r="M76" i="1" s="1"/>
  <c r="R97" i="1"/>
  <c r="Q11" i="4"/>
  <c r="P98" i="1"/>
  <c r="L27" i="1" s="1"/>
  <c r="T100" i="1"/>
  <c r="T29" i="1" s="1"/>
  <c r="M88" i="1"/>
  <c r="E177" i="1"/>
  <c r="N88" i="1" s="1"/>
  <c r="R88" i="1" s="1"/>
  <c r="L15" i="1" s="1"/>
  <c r="Q87" i="1"/>
  <c r="E132" i="1"/>
  <c r="Q88" i="1"/>
  <c r="Q89" i="1"/>
  <c r="N12" i="4"/>
  <c r="O12" i="4" s="1"/>
  <c r="U98" i="1"/>
  <c r="R99" i="1"/>
  <c r="AQ92" i="1"/>
  <c r="AP92" i="1" s="1"/>
  <c r="F92" i="1" s="1"/>
  <c r="AQ99" i="1"/>
  <c r="AP99" i="1" s="1"/>
  <c r="E226" i="1"/>
  <c r="W103" i="1" s="1"/>
  <c r="S34" i="1" s="1"/>
  <c r="T34" i="1" s="1"/>
  <c r="E229" i="1"/>
  <c r="W106" i="1" s="1"/>
  <c r="S37" i="1" s="1"/>
  <c r="T37" i="1" s="1"/>
  <c r="E228" i="1"/>
  <c r="W105" i="1" s="1"/>
  <c r="L36" i="1" s="1"/>
  <c r="S36" i="1" s="1"/>
  <c r="T36" i="1" s="1"/>
  <c r="E176" i="1"/>
  <c r="N87" i="1" s="1"/>
  <c r="AQ93" i="1"/>
  <c r="AP93" i="1" s="1"/>
  <c r="F93" i="1" s="1"/>
  <c r="AQ101" i="1"/>
  <c r="AP101" i="1" s="1"/>
  <c r="U101" i="1"/>
  <c r="P101" i="1"/>
  <c r="L30" i="1" s="1"/>
  <c r="AQ95" i="1"/>
  <c r="AP95" i="1" s="1"/>
  <c r="F95" i="1" s="1"/>
  <c r="U97" i="1"/>
  <c r="R98" i="1"/>
  <c r="R101" i="1"/>
  <c r="T98" i="1"/>
  <c r="T27" i="1" s="1"/>
  <c r="AQ94" i="1"/>
  <c r="AP94" i="1" s="1"/>
  <c r="F94" i="1" s="1"/>
  <c r="AQ96" i="1"/>
  <c r="AP96" i="1" s="1"/>
  <c r="F96" i="1" s="1"/>
  <c r="AQ98" i="1"/>
  <c r="AP98" i="1" s="1"/>
  <c r="AQ100" i="1"/>
  <c r="AP100" i="1" s="1"/>
  <c r="R12" i="4"/>
  <c r="S12" i="4" s="1"/>
  <c r="S11" i="4"/>
  <c r="O11" i="4"/>
  <c r="AB11" i="4"/>
  <c r="AA11" i="4" s="1"/>
  <c r="T11" i="4" s="1"/>
  <c r="U11" i="4" s="1"/>
  <c r="M11" i="4"/>
  <c r="P89" i="1"/>
  <c r="X89" i="1"/>
  <c r="T89" i="1"/>
  <c r="Y89" i="1"/>
  <c r="X91" i="1"/>
  <c r="T90" i="1"/>
  <c r="P90" i="1"/>
  <c r="Y90" i="1"/>
  <c r="P87" i="1"/>
  <c r="Y87" i="1"/>
  <c r="T87" i="1"/>
  <c r="X90" i="1"/>
  <c r="T91" i="1"/>
  <c r="Y91" i="1"/>
  <c r="P91" i="1"/>
  <c r="P102" i="1"/>
  <c r="R102" i="1"/>
  <c r="T102" i="1"/>
  <c r="X102" i="1"/>
  <c r="U102" i="1"/>
  <c r="Y102" i="1"/>
  <c r="M50" i="4"/>
  <c r="N50" i="4"/>
  <c r="M49" i="4"/>
  <c r="N49" i="4"/>
  <c r="Q37" i="4"/>
  <c r="R37" i="4" s="1"/>
  <c r="P37" i="4"/>
  <c r="Q13" i="4"/>
  <c r="O13" i="4"/>
  <c r="M13" i="4"/>
  <c r="AB13" i="4"/>
  <c r="AA13" i="4" s="1"/>
  <c r="T13" i="4" s="1"/>
  <c r="U13" i="4" s="1"/>
  <c r="AD13" i="4"/>
  <c r="S13" i="4"/>
  <c r="M77" i="1"/>
  <c r="P9" i="4"/>
  <c r="Q9" i="4" s="1"/>
  <c r="R9" i="4"/>
  <c r="S9" i="4" s="1"/>
  <c r="L9" i="4"/>
  <c r="M9" i="4" s="1"/>
  <c r="E139" i="1"/>
  <c r="D140" i="1"/>
  <c r="S76" i="1"/>
  <c r="T103" i="1" l="1"/>
  <c r="P105" i="1"/>
  <c r="P104" i="1"/>
  <c r="P107" i="1"/>
  <c r="T107" i="1"/>
  <c r="U89" i="1"/>
  <c r="T16" i="1" s="1"/>
  <c r="R90" i="1"/>
  <c r="L17" i="1" s="1"/>
  <c r="U91" i="1"/>
  <c r="T18" i="1" s="1"/>
  <c r="P96" i="1"/>
  <c r="L25" i="1" s="1"/>
  <c r="U96" i="1"/>
  <c r="T96" i="1"/>
  <c r="T25" i="1" s="1"/>
  <c r="R96" i="1"/>
  <c r="T95" i="1"/>
  <c r="T24" i="1" s="1"/>
  <c r="P95" i="1"/>
  <c r="L24" i="1" s="1"/>
  <c r="U95" i="1"/>
  <c r="R95" i="1"/>
  <c r="P93" i="1"/>
  <c r="L22" i="1" s="1"/>
  <c r="T93" i="1"/>
  <c r="T22" i="1" s="1"/>
  <c r="R93" i="1"/>
  <c r="U93" i="1"/>
  <c r="R94" i="1"/>
  <c r="T94" i="1"/>
  <c r="T23" i="1" s="1"/>
  <c r="U94" i="1"/>
  <c r="P94" i="1"/>
  <c r="L23" i="1" s="1"/>
  <c r="P92" i="1"/>
  <c r="L21" i="1" s="1"/>
  <c r="T92" i="1"/>
  <c r="T21" i="1" s="1"/>
  <c r="R92" i="1"/>
  <c r="U92" i="1"/>
  <c r="R87" i="1"/>
  <c r="L14" i="1" s="1"/>
  <c r="U87" i="1"/>
  <c r="T14" i="1" s="1"/>
  <c r="T88" i="1"/>
  <c r="X88" i="1"/>
  <c r="P88" i="1"/>
  <c r="U88" i="1"/>
  <c r="T15" i="1" s="1"/>
  <c r="Y88" i="1"/>
  <c r="V105" i="1"/>
  <c r="V102" i="1"/>
  <c r="V100" i="1"/>
  <c r="E140" i="1"/>
  <c r="V88" i="1"/>
  <c r="V87" i="1"/>
  <c r="V108" i="1"/>
  <c r="V104" i="1"/>
  <c r="V96" i="1"/>
  <c r="V98" i="1"/>
  <c r="V99" i="1"/>
  <c r="V97" i="1"/>
  <c r="V103" i="1"/>
  <c r="V94" i="1"/>
  <c r="D141" i="1"/>
  <c r="V106" i="1"/>
  <c r="V101" i="1"/>
  <c r="V90" i="1"/>
  <c r="V89" i="1"/>
  <c r="V93" i="1"/>
  <c r="V91" i="1"/>
  <c r="V107" i="1"/>
  <c r="V92" i="1"/>
  <c r="V95" i="1"/>
  <c r="L78" i="1" l="1"/>
  <c r="T77" i="1"/>
  <c r="T78" i="1" s="1"/>
  <c r="D142" i="1"/>
  <c r="E141" i="1"/>
  <c r="L80" i="1" l="1"/>
  <c r="L79" i="1"/>
  <c r="T81" i="1"/>
  <c r="D143" i="1"/>
  <c r="E142" i="1"/>
  <c r="E143" i="1" l="1"/>
  <c r="D144" i="1"/>
  <c r="D145" i="1" l="1"/>
  <c r="E145" i="1" s="1"/>
  <c r="E144" i="1"/>
</calcChain>
</file>

<file path=xl/sharedStrings.xml><?xml version="1.0" encoding="utf-8"?>
<sst xmlns="http://schemas.openxmlformats.org/spreadsheetml/2006/main" count="1112" uniqueCount="654">
  <si>
    <t>Exact size</t>
  </si>
  <si>
    <r>
      <rPr>
        <sz val="20"/>
        <color theme="0"/>
        <rFont val="Arial"/>
        <family val="2"/>
      </rPr>
      <t>STEP 1</t>
    </r>
    <r>
      <rPr>
        <sz val="26"/>
        <color theme="0"/>
        <rFont val="Arial"/>
        <family val="2"/>
      </rPr>
      <t xml:space="preserve">
YOUR COMPANY'S DETAILS</t>
    </r>
  </si>
  <si>
    <r>
      <rPr>
        <sz val="20"/>
        <color theme="0"/>
        <rFont val="Arial"/>
        <family val="2"/>
      </rPr>
      <t>STEP 2</t>
    </r>
    <r>
      <rPr>
        <sz val="26"/>
        <color theme="0"/>
        <rFont val="Arial"/>
        <family val="2"/>
      </rPr>
      <t xml:space="preserve">
LEAD TIMES AND PAYMENT DETAILS</t>
    </r>
  </si>
  <si>
    <t>DATE OF ORDER:</t>
  </si>
  <si>
    <t>BUSINESS ADDRESS FOR DELIVERY:</t>
  </si>
  <si>
    <t>FACTORY LEAD TIMES</t>
  </si>
  <si>
    <t>ACCEPTED PAYMENTS</t>
  </si>
  <si>
    <t>BANK DETAILS</t>
  </si>
  <si>
    <t>COMPANY NAME:</t>
  </si>
  <si>
    <t>Debit Card:</t>
  </si>
  <si>
    <t>FOC</t>
  </si>
  <si>
    <t>Bank name:</t>
  </si>
  <si>
    <t>Lloyds plc</t>
  </si>
  <si>
    <t>KG</t>
  </si>
  <si>
    <t>Other parts for Quote (Please add to Notes)</t>
  </si>
  <si>
    <t>Colour - Please add code and Gloss level to notes</t>
  </si>
  <si>
    <t>ORDER REF:</t>
  </si>
  <si>
    <t>Credit Card:</t>
  </si>
  <si>
    <t>2% Fee</t>
  </si>
  <si>
    <t>Account Name:</t>
  </si>
  <si>
    <t>Phantom Screens (UK) limited</t>
  </si>
  <si>
    <t>Serene Window (Max 1830mm x 1980mm)</t>
  </si>
  <si>
    <t>White</t>
  </si>
  <si>
    <t>18-14 Black</t>
  </si>
  <si>
    <t>Face Fix</t>
  </si>
  <si>
    <t>CONTACT NAME:</t>
  </si>
  <si>
    <t>WOOD GRAIN:</t>
  </si>
  <si>
    <t>BACS:</t>
  </si>
  <si>
    <t>Account number:</t>
  </si>
  <si>
    <t>01548944</t>
  </si>
  <si>
    <t>Legacy Door (Max 2440mm x 2130mm)</t>
  </si>
  <si>
    <t>20-20 Insect Black (+£10)</t>
  </si>
  <si>
    <t>Recess Fix</t>
  </si>
  <si>
    <t>No</t>
  </si>
  <si>
    <t>Colour - Please add RAL code and Gloss level to notes</t>
  </si>
  <si>
    <t>Postcode Area</t>
  </si>
  <si>
    <t>Post Town</t>
  </si>
  <si>
    <t>DATE ORDER REQUIRED:</t>
  </si>
  <si>
    <t>CHAPS:</t>
  </si>
  <si>
    <t>Sort Code:</t>
  </si>
  <si>
    <t>30-98-02</t>
  </si>
  <si>
    <t>Leave behind Silicone Spray</t>
  </si>
  <si>
    <t>Blackout Domestic (+£30)</t>
  </si>
  <si>
    <t>AB</t>
  </si>
  <si>
    <t>Aberdeen</t>
  </si>
  <si>
    <t>LEAD FROM:</t>
  </si>
  <si>
    <t>Cheque:</t>
  </si>
  <si>
    <t>Plus 50mm</t>
  </si>
  <si>
    <t>Distinction Door (Max 4000mm x 2600mm)</t>
  </si>
  <si>
    <t>Wood Grain - Please add Phantom code to notes</t>
  </si>
  <si>
    <t>Blackout Commercial (+£20)</t>
  </si>
  <si>
    <t>Double door over 1220mm wide</t>
  </si>
  <si>
    <t>AL</t>
  </si>
  <si>
    <t>St. Albans</t>
  </si>
  <si>
    <t>Replacement mesh per cassette (Please give size / original ref in line notes)</t>
  </si>
  <si>
    <t>25mm Box Profile (2500mm Length)</t>
  </si>
  <si>
    <t>Stock Wood Grain - please add code</t>
  </si>
  <si>
    <t>xxx</t>
  </si>
  <si>
    <t>Left to Right</t>
  </si>
  <si>
    <t>B</t>
  </si>
  <si>
    <t>Birmingham</t>
  </si>
  <si>
    <r>
      <rPr>
        <sz val="20"/>
        <color theme="0"/>
        <rFont val="Arial"/>
        <family val="2"/>
      </rPr>
      <t>STEP 3</t>
    </r>
    <r>
      <rPr>
        <sz val="26"/>
        <color theme="0"/>
        <rFont val="Arial"/>
        <family val="2"/>
      </rPr>
      <t xml:space="preserve">
LEGACY DOOR SCREENS</t>
    </r>
    <r>
      <rPr>
        <sz val="20"/>
        <color theme="0"/>
        <rFont val="Arial"/>
        <family val="2"/>
      </rPr>
      <t xml:space="preserve"> (Please use your survey sheet notes to complete this section.)</t>
    </r>
  </si>
  <si>
    <t>L Flap (2438mm Length)</t>
  </si>
  <si>
    <t>Right to Left</t>
  </si>
  <si>
    <t>Telescopic Hook</t>
  </si>
  <si>
    <t>Double Door</t>
  </si>
  <si>
    <t>BA</t>
  </si>
  <si>
    <t>Bath</t>
  </si>
  <si>
    <r>
      <rPr>
        <b/>
        <sz val="10"/>
        <rFont val="Arial"/>
        <family val="2"/>
      </rPr>
      <t>PRODUCT</t>
    </r>
    <r>
      <rPr>
        <sz val="10"/>
        <rFont val="Arial"/>
        <family val="2"/>
      </rPr>
      <t xml:space="preserve"> 
(Please select from the drop down 
list in each cell)</t>
    </r>
  </si>
  <si>
    <t>QTY</t>
  </si>
  <si>
    <r>
      <rPr>
        <b/>
        <sz val="10"/>
        <rFont val="Arial"/>
        <family val="2"/>
      </rPr>
      <t>TOTAL WIDTH</t>
    </r>
    <r>
      <rPr>
        <sz val="10"/>
        <rFont val="Arial"/>
        <family val="2"/>
      </rPr>
      <t xml:space="preserve"> (mm)</t>
    </r>
  </si>
  <si>
    <r>
      <rPr>
        <b/>
        <sz val="10"/>
        <rFont val="Arial"/>
        <family val="2"/>
      </rPr>
      <t xml:space="preserve">TOTAL HEIGHT </t>
    </r>
    <r>
      <rPr>
        <sz val="10"/>
        <rFont val="Arial"/>
        <family val="2"/>
      </rPr>
      <t>(mm)</t>
    </r>
  </si>
  <si>
    <r>
      <rPr>
        <b/>
        <sz val="10"/>
        <rFont val="Arial"/>
        <family val="2"/>
      </rPr>
      <t>TRACK</t>
    </r>
    <r>
      <rPr>
        <sz val="10"/>
        <rFont val="Arial"/>
        <family val="2"/>
      </rPr>
      <t xml:space="preserve"> 
(Select either 
cut to size or supplied 50mm larger to cut on site, or un cut factory length)</t>
    </r>
  </si>
  <si>
    <r>
      <rPr>
        <b/>
        <sz val="10"/>
        <rFont val="Arial"/>
        <family val="2"/>
      </rPr>
      <t>MESH</t>
    </r>
    <r>
      <rPr>
        <sz val="10"/>
        <rFont val="Arial"/>
        <family val="2"/>
      </rPr>
      <t xml:space="preserve"> 
(18-14 Black only)</t>
    </r>
  </si>
  <si>
    <t>FITTING METHOD</t>
  </si>
  <si>
    <t>HANDLE AND FASTENING OPTIONS</t>
  </si>
  <si>
    <t xml:space="preserve">PULL DIRECTION </t>
  </si>
  <si>
    <r>
      <rPr>
        <b/>
        <sz val="10"/>
        <rFont val="Arial"/>
        <family val="2"/>
      </rPr>
      <t xml:space="preserve">SOFT CLOSE OPTION </t>
    </r>
    <r>
      <rPr>
        <sz val="10"/>
        <rFont val="Arial"/>
        <family val="2"/>
      </rPr>
      <t>(Available up to 2130mm high)</t>
    </r>
  </si>
  <si>
    <r>
      <rPr>
        <b/>
        <sz val="10"/>
        <rFont val="Arial"/>
        <family val="2"/>
      </rPr>
      <t xml:space="preserve">PRICE ex VAT  </t>
    </r>
    <r>
      <rPr>
        <sz val="10"/>
        <rFont val="Arial"/>
        <family val="2"/>
      </rPr>
      <t>(Includes all cost options)</t>
    </r>
  </si>
  <si>
    <r>
      <rPr>
        <b/>
        <sz val="10"/>
        <rFont val="Arial"/>
        <family val="2"/>
      </rPr>
      <t xml:space="preserve">ADDITIONAL NOTES
</t>
    </r>
    <r>
      <rPr>
        <sz val="10"/>
        <rFont val="Arial"/>
        <family val="2"/>
      </rPr>
      <t>(Including screen location)</t>
    </r>
  </si>
  <si>
    <t>Weight</t>
  </si>
  <si>
    <t>Other parts list below for Quote</t>
  </si>
  <si>
    <t>BB</t>
  </si>
  <si>
    <t>Blackburn</t>
  </si>
  <si>
    <t>BD</t>
  </si>
  <si>
    <t>Bradford</t>
  </si>
  <si>
    <t>Non Latching Handle (Magnet)</t>
  </si>
  <si>
    <t>BH</t>
  </si>
  <si>
    <t>Bournemouth</t>
  </si>
  <si>
    <t>No Handle (Finger pulls only)</t>
  </si>
  <si>
    <t>BL</t>
  </si>
  <si>
    <t>Bolton</t>
  </si>
  <si>
    <t>Phantom</t>
  </si>
  <si>
    <t>Non Latching Handle to front Finger pulls to back</t>
  </si>
  <si>
    <t>BN</t>
  </si>
  <si>
    <t>Brighton</t>
  </si>
  <si>
    <t>Showroom</t>
  </si>
  <si>
    <t>BR</t>
  </si>
  <si>
    <t>Bromley</t>
  </si>
  <si>
    <r>
      <rPr>
        <sz val="20"/>
        <color theme="0"/>
        <rFont val="Arial"/>
        <family val="2"/>
      </rPr>
      <t>STEP 4</t>
    </r>
    <r>
      <rPr>
        <sz val="26"/>
        <color theme="0"/>
        <rFont val="Arial"/>
        <family val="2"/>
      </rPr>
      <t xml:space="preserve">
SERENE WINDOW SCREENS</t>
    </r>
    <r>
      <rPr>
        <sz val="20"/>
        <color theme="0"/>
        <rFont val="Arial"/>
        <family val="2"/>
      </rPr>
      <t xml:space="preserve"> (Please use your survey sheet notes to complete this section.)</t>
    </r>
  </si>
  <si>
    <r>
      <rPr>
        <b/>
        <sz val="10"/>
        <rFont val="Arial"/>
        <family val="2"/>
      </rPr>
      <t>TRACK</t>
    </r>
    <r>
      <rPr>
        <sz val="10"/>
        <rFont val="Arial"/>
        <family val="2"/>
      </rPr>
      <t xml:space="preserve"> 
(Select either 
cut to size or supplied 50mm larger to cut on site)</t>
    </r>
  </si>
  <si>
    <r>
      <rPr>
        <b/>
        <sz val="10"/>
        <rFont val="Arial"/>
        <family val="2"/>
      </rPr>
      <t>HANDLE AND FASTENING OPTIONS</t>
    </r>
    <r>
      <rPr>
        <sz val="10"/>
        <rFont val="Arial"/>
        <family val="2"/>
      </rPr>
      <t xml:space="preserve">
(Note: Serene does not have a handle)</t>
    </r>
  </si>
  <si>
    <r>
      <rPr>
        <b/>
        <sz val="10"/>
        <rFont val="Arial"/>
        <family val="2"/>
      </rPr>
      <t>PULL DIRECTION</t>
    </r>
    <r>
      <rPr>
        <sz val="10"/>
        <rFont val="Arial"/>
        <family val="2"/>
      </rPr>
      <t xml:space="preserve"> 
(Note: Pull 
down only)</t>
    </r>
  </si>
  <si>
    <t>Yellow Pages</t>
  </si>
  <si>
    <t>BS</t>
  </si>
  <si>
    <t>Bristol</t>
  </si>
  <si>
    <t>Leaflet Drop</t>
  </si>
  <si>
    <t>BT</t>
  </si>
  <si>
    <t>Belfast</t>
  </si>
  <si>
    <t>Installer lead</t>
  </si>
  <si>
    <t>CA</t>
  </si>
  <si>
    <t>Carlisle</t>
  </si>
  <si>
    <t>Website</t>
  </si>
  <si>
    <t>CB</t>
  </si>
  <si>
    <t>Cambridge</t>
  </si>
  <si>
    <t>Phone enquiry</t>
  </si>
  <si>
    <t>CF</t>
  </si>
  <si>
    <t>Cardiff</t>
  </si>
  <si>
    <t>Customer referral</t>
  </si>
  <si>
    <t>CH</t>
  </si>
  <si>
    <t>Chester</t>
  </si>
  <si>
    <t>Show or event</t>
  </si>
  <si>
    <t>CM</t>
  </si>
  <si>
    <t>Chelmsford</t>
  </si>
  <si>
    <t>Press Advert</t>
  </si>
  <si>
    <t>CO</t>
  </si>
  <si>
    <t>Colchester</t>
  </si>
  <si>
    <t>Commercial</t>
  </si>
  <si>
    <t>CR</t>
  </si>
  <si>
    <t>Croydon</t>
  </si>
  <si>
    <t>Other - Please add in notes below</t>
  </si>
  <si>
    <t>CT</t>
  </si>
  <si>
    <t>Canterbury</t>
  </si>
  <si>
    <r>
      <rPr>
        <sz val="20"/>
        <color theme="0"/>
        <rFont val="Arial"/>
        <family val="2"/>
      </rPr>
      <t>STEP 5</t>
    </r>
    <r>
      <rPr>
        <sz val="26"/>
        <color theme="0"/>
        <rFont val="Arial"/>
        <family val="2"/>
      </rPr>
      <t xml:space="preserve">
DISTINCTION DOOR SCREENS </t>
    </r>
    <r>
      <rPr>
        <sz val="20"/>
        <color theme="0"/>
        <rFont val="Arial"/>
        <family val="2"/>
      </rPr>
      <t>(Please use your survey sheet notes to complete this section.)</t>
    </r>
  </si>
  <si>
    <r>
      <rPr>
        <b/>
        <sz val="10"/>
        <rFont val="Arial"/>
        <family val="2"/>
      </rPr>
      <t>TRACK</t>
    </r>
    <r>
      <rPr>
        <sz val="10"/>
        <rFont val="Arial"/>
        <family val="2"/>
      </rPr>
      <t xml:space="preserve"> 
(Note: Made to size only)</t>
    </r>
  </si>
  <si>
    <r>
      <rPr>
        <b/>
        <sz val="10"/>
        <rFont val="Arial"/>
        <family val="2"/>
      </rPr>
      <t>FITTING METHOD</t>
    </r>
    <r>
      <rPr>
        <sz val="10"/>
        <rFont val="Arial"/>
        <family val="2"/>
      </rPr>
      <t xml:space="preserve">
(Note:
 Distinction is recess fit only)</t>
    </r>
  </si>
  <si>
    <r>
      <rPr>
        <b/>
        <sz val="10"/>
        <rFont val="Arial"/>
        <family val="2"/>
      </rPr>
      <t>HANDLE AND FASTENING OPTIONS</t>
    </r>
    <r>
      <rPr>
        <sz val="10"/>
        <rFont val="Arial"/>
        <family val="2"/>
      </rPr>
      <t xml:space="preserve">
(Note: Distinction handle is built into slide bar)</t>
    </r>
  </si>
  <si>
    <r>
      <rPr>
        <b/>
        <sz val="10"/>
        <rFont val="Arial"/>
        <family val="2"/>
      </rPr>
      <t>PULL DIRECTION</t>
    </r>
  </si>
  <si>
    <r>
      <rPr>
        <b/>
        <sz val="10"/>
        <rFont val="Arial"/>
        <family val="2"/>
      </rPr>
      <t>SOFT CLOSE OPTION</t>
    </r>
    <r>
      <rPr>
        <sz val="10"/>
        <rFont val="Arial"/>
        <family val="2"/>
      </rPr>
      <t xml:space="preserve">
(Note: Distinction is not 
spring loaded so no soft 
close needed)</t>
    </r>
  </si>
  <si>
    <t>CV</t>
  </si>
  <si>
    <t>Coventry</t>
  </si>
  <si>
    <t>CW</t>
  </si>
  <si>
    <t>Crewe</t>
  </si>
  <si>
    <t>DA</t>
  </si>
  <si>
    <t>Dartford</t>
  </si>
  <si>
    <t>DD</t>
  </si>
  <si>
    <t>Dundee</t>
  </si>
  <si>
    <t>DE</t>
  </si>
  <si>
    <t>Derby</t>
  </si>
  <si>
    <t>DG</t>
  </si>
  <si>
    <t>Dumfries</t>
  </si>
  <si>
    <r>
      <rPr>
        <sz val="20"/>
        <color theme="0"/>
        <rFont val="Arial"/>
        <family val="2"/>
      </rPr>
      <t>STEP 6</t>
    </r>
    <r>
      <rPr>
        <sz val="26"/>
        <color theme="0"/>
        <rFont val="Arial"/>
        <family val="2"/>
      </rPr>
      <t xml:space="preserve">
PRESSFIT DOOR SCREENS </t>
    </r>
    <r>
      <rPr>
        <sz val="20"/>
        <color theme="0"/>
        <rFont val="Arial"/>
        <family val="2"/>
      </rPr>
      <t>(Please use your survey sheet notes to complete this section.)</t>
    </r>
  </si>
  <si>
    <t>Qty</t>
  </si>
  <si>
    <r>
      <rPr>
        <b/>
        <sz val="10"/>
        <rFont val="Arial"/>
        <family val="2"/>
      </rPr>
      <t>HANDLE AND FASTENING OPTIONS</t>
    </r>
    <r>
      <rPr>
        <sz val="10"/>
        <rFont val="Arial"/>
        <family val="2"/>
      </rPr>
      <t xml:space="preserve">
(Note: standard handle only)</t>
    </r>
  </si>
  <si>
    <r>
      <t xml:space="preserve">PULL DIRECTION
</t>
    </r>
    <r>
      <rPr>
        <sz val="10"/>
        <rFont val="Arial"/>
        <family val="2"/>
      </rPr>
      <t xml:space="preserve">(N/A) </t>
    </r>
  </si>
  <si>
    <r>
      <rPr>
        <b/>
        <sz val="10"/>
        <rFont val="Arial"/>
        <family val="2"/>
      </rPr>
      <t>SOFT CLOSE OPTION</t>
    </r>
    <r>
      <rPr>
        <sz val="10"/>
        <rFont val="Arial"/>
        <family val="2"/>
      </rPr>
      <t xml:space="preserve">
(Note: PressFit has an adjustable spring)</t>
    </r>
  </si>
  <si>
    <r>
      <rPr>
        <sz val="20"/>
        <color theme="0"/>
        <rFont val="Arial"/>
        <family val="2"/>
      </rPr>
      <t>STEP 7</t>
    </r>
    <r>
      <rPr>
        <sz val="26"/>
        <color theme="0"/>
        <rFont val="Arial"/>
        <family val="2"/>
      </rPr>
      <t xml:space="preserve">
PRESSFIT PULL ACROSS WINDOW SCREENS </t>
    </r>
    <r>
      <rPr>
        <sz val="20"/>
        <color theme="0"/>
        <rFont val="Arial"/>
        <family val="2"/>
      </rPr>
      <t>(Please use your survey sheet notes to complete this section.)</t>
    </r>
  </si>
  <si>
    <r>
      <rPr>
        <b/>
        <sz val="10"/>
        <rFont val="Arial"/>
        <family val="2"/>
      </rPr>
      <t>TOTAL WIDTH</t>
    </r>
    <r>
      <rPr>
        <sz val="10"/>
        <rFont val="Arial"/>
        <family val="2"/>
      </rPr>
      <t xml:space="preserve"> (mm) 400mm minimum</t>
    </r>
  </si>
  <si>
    <r>
      <rPr>
        <sz val="20"/>
        <color theme="0"/>
        <rFont val="Arial"/>
        <family val="2"/>
      </rPr>
      <t>STEP 8</t>
    </r>
    <r>
      <rPr>
        <sz val="26"/>
        <color theme="0"/>
        <rFont val="Arial"/>
        <family val="2"/>
      </rPr>
      <t xml:space="preserve">
PRESSFIT PULL DOWN WINDOW SCREENS </t>
    </r>
    <r>
      <rPr>
        <sz val="20"/>
        <color theme="0"/>
        <rFont val="Arial"/>
        <family val="2"/>
      </rPr>
      <t>(Please use your survey sheet notes to complete this section.)</t>
    </r>
  </si>
  <si>
    <r>
      <rPr>
        <b/>
        <sz val="10"/>
        <rFont val="Arial"/>
        <family val="2"/>
      </rPr>
      <t xml:space="preserve">TOTAL HEIGHT </t>
    </r>
    <r>
      <rPr>
        <sz val="10"/>
        <rFont val="Arial"/>
        <family val="2"/>
      </rPr>
      <t>(mm) Minimum 400mm</t>
    </r>
  </si>
  <si>
    <r>
      <rPr>
        <sz val="20"/>
        <color theme="0"/>
        <rFont val="Arial"/>
        <family val="2"/>
      </rPr>
      <t>STEP 9</t>
    </r>
    <r>
      <rPr>
        <sz val="26"/>
        <color theme="0"/>
        <rFont val="Arial"/>
        <family val="2"/>
      </rPr>
      <t xml:space="preserve">
PRICE, SURCHARGES AND DELIVERY</t>
    </r>
  </si>
  <si>
    <t>DELIVERY</t>
  </si>
  <si>
    <t>DH</t>
  </si>
  <si>
    <t>Durham</t>
  </si>
  <si>
    <t>SURCHARGES</t>
  </si>
  <si>
    <t>DL</t>
  </si>
  <si>
    <t>Darlington</t>
  </si>
  <si>
    <t>TOTAL NET</t>
  </si>
  <si>
    <t>DN</t>
  </si>
  <si>
    <t>Doncaster</t>
  </si>
  <si>
    <t>VAT 20%</t>
  </si>
  <si>
    <t>DT</t>
  </si>
  <si>
    <t>Dorchester</t>
  </si>
  <si>
    <t>TOTAL GROSS</t>
  </si>
  <si>
    <t>DY</t>
  </si>
  <si>
    <t>Dudley</t>
  </si>
  <si>
    <t>E</t>
  </si>
  <si>
    <t>London E</t>
  </si>
  <si>
    <t>EC</t>
  </si>
  <si>
    <t>London EC</t>
  </si>
  <si>
    <t>EH</t>
  </si>
  <si>
    <t>Edinburgh</t>
  </si>
  <si>
    <t xml:space="preserve">Phantom Office use only </t>
  </si>
  <si>
    <t>Current balance</t>
  </si>
  <si>
    <t>Limit</t>
  </si>
  <si>
    <t>Days due</t>
  </si>
  <si>
    <t>Status</t>
  </si>
  <si>
    <t>Acc Code</t>
  </si>
  <si>
    <t>EN</t>
  </si>
  <si>
    <t>Enfield</t>
  </si>
  <si>
    <t>Serene Window</t>
  </si>
  <si>
    <t>Phantom Door</t>
  </si>
  <si>
    <t>Sdiff</t>
  </si>
  <si>
    <t>Pdiff</t>
  </si>
  <si>
    <t>Infinity Door</t>
  </si>
  <si>
    <t>Distinction Door</t>
  </si>
  <si>
    <t>L Flap</t>
  </si>
  <si>
    <t>Hook</t>
  </si>
  <si>
    <t>Delivery Eng,Wales,South Scotland</t>
  </si>
  <si>
    <t>Delivery Scotland</t>
  </si>
  <si>
    <t>Delivery Ireland &amp; CI</t>
  </si>
  <si>
    <t>Delivery Northern Ireland</t>
  </si>
  <si>
    <t>Highlands</t>
  </si>
  <si>
    <t>Door height</t>
  </si>
  <si>
    <t>Cassettes</t>
  </si>
  <si>
    <t>EX</t>
  </si>
  <si>
    <t>Exeter</t>
  </si>
  <si>
    <t>Line 12</t>
  </si>
  <si>
    <t>FK</t>
  </si>
  <si>
    <t>Falkirk</t>
  </si>
  <si>
    <t>Line 13</t>
  </si>
  <si>
    <t>FY</t>
  </si>
  <si>
    <t>Blackpool</t>
  </si>
  <si>
    <t>Line 14</t>
  </si>
  <si>
    <t>G</t>
  </si>
  <si>
    <t>Glasgow</t>
  </si>
  <si>
    <t>Line 15</t>
  </si>
  <si>
    <t>GL</t>
  </si>
  <si>
    <t>Gloucester</t>
  </si>
  <si>
    <t>Line 16</t>
  </si>
  <si>
    <t>GU</t>
  </si>
  <si>
    <t>Guildford</t>
  </si>
  <si>
    <t>Line 17</t>
  </si>
  <si>
    <t>GY</t>
  </si>
  <si>
    <t>Guernsey</t>
  </si>
  <si>
    <t>Line 18</t>
  </si>
  <si>
    <t>HA</t>
  </si>
  <si>
    <t>Harrow</t>
  </si>
  <si>
    <t>Line 19</t>
  </si>
  <si>
    <t>HD</t>
  </si>
  <si>
    <t>Huddersfield</t>
  </si>
  <si>
    <t>Line 20</t>
  </si>
  <si>
    <t>HG</t>
  </si>
  <si>
    <t>Harrogate</t>
  </si>
  <si>
    <t>Line 21</t>
  </si>
  <si>
    <t>HP</t>
  </si>
  <si>
    <t>Hemel Hempstead</t>
  </si>
  <si>
    <t>Line 22</t>
  </si>
  <si>
    <t>poa</t>
  </si>
  <si>
    <t>HR</t>
  </si>
  <si>
    <t>Hereford</t>
  </si>
  <si>
    <t>Line 23</t>
  </si>
  <si>
    <t>HS</t>
  </si>
  <si>
    <t>Western Isles</t>
  </si>
  <si>
    <t>Line 24</t>
  </si>
  <si>
    <t>HU</t>
  </si>
  <si>
    <t>Hull</t>
  </si>
  <si>
    <t>Line 25</t>
  </si>
  <si>
    <t>HX</t>
  </si>
  <si>
    <t>Halifax</t>
  </si>
  <si>
    <t>Line 26</t>
  </si>
  <si>
    <t>IG</t>
  </si>
  <si>
    <t>Ilford</t>
  </si>
  <si>
    <t>Line 27</t>
  </si>
  <si>
    <t>IM</t>
  </si>
  <si>
    <t>Isle Of Man</t>
  </si>
  <si>
    <t>Line 28</t>
  </si>
  <si>
    <t>IP</t>
  </si>
  <si>
    <t>Ipswich</t>
  </si>
  <si>
    <t>Line 29</t>
  </si>
  <si>
    <t>IV</t>
  </si>
  <si>
    <t>Inverness</t>
  </si>
  <si>
    <t>Line 30</t>
  </si>
  <si>
    <t>JE</t>
  </si>
  <si>
    <t>Jersey</t>
  </si>
  <si>
    <t>Line 31</t>
  </si>
  <si>
    <t>KA</t>
  </si>
  <si>
    <t>Kilmarnock</t>
  </si>
  <si>
    <t>Line 32</t>
  </si>
  <si>
    <t>KT</t>
  </si>
  <si>
    <t>Kingston Upon Thames</t>
  </si>
  <si>
    <t>Line 33</t>
  </si>
  <si>
    <t>KW</t>
  </si>
  <si>
    <t>Kirkwall</t>
  </si>
  <si>
    <t>KY</t>
  </si>
  <si>
    <t>Kirkcaldy</t>
  </si>
  <si>
    <t>L</t>
  </si>
  <si>
    <t>Liverpool</t>
  </si>
  <si>
    <t>LA</t>
  </si>
  <si>
    <t>Lancaster</t>
  </si>
  <si>
    <t>LD</t>
  </si>
  <si>
    <t>Llandrindod Wells</t>
  </si>
  <si>
    <t>LE</t>
  </si>
  <si>
    <t>Leicester</t>
  </si>
  <si>
    <t>LL</t>
  </si>
  <si>
    <t>Llandudno</t>
  </si>
  <si>
    <t>LN</t>
  </si>
  <si>
    <t>Lincoln</t>
  </si>
  <si>
    <t>LS</t>
  </si>
  <si>
    <t>Leeds</t>
  </si>
  <si>
    <t>LU</t>
  </si>
  <si>
    <t>Luton</t>
  </si>
  <si>
    <t>M</t>
  </si>
  <si>
    <t>Manchester</t>
  </si>
  <si>
    <t>ME</t>
  </si>
  <si>
    <t>Medway</t>
  </si>
  <si>
    <t>MK</t>
  </si>
  <si>
    <t>Milton Keynes</t>
  </si>
  <si>
    <t>RRP</t>
  </si>
  <si>
    <t>RRPEXVAT</t>
  </si>
  <si>
    <t>Colour</t>
  </si>
  <si>
    <t>Wood</t>
  </si>
  <si>
    <t>ML</t>
  </si>
  <si>
    <t>Motherwell</t>
  </si>
  <si>
    <t>N</t>
  </si>
  <si>
    <t>London N</t>
  </si>
  <si>
    <t>Type</t>
  </si>
  <si>
    <t>Mesh</t>
  </si>
  <si>
    <t>Height</t>
  </si>
  <si>
    <t>Width</t>
  </si>
  <si>
    <t>FT</t>
  </si>
  <si>
    <t>M2M 1</t>
  </si>
  <si>
    <t>NE</t>
  </si>
  <si>
    <t>Newcastle Upon Tyne</t>
  </si>
  <si>
    <t>NG</t>
  </si>
  <si>
    <t>Nottingham</t>
  </si>
  <si>
    <t>18-14</t>
  </si>
  <si>
    <t>NN</t>
  </si>
  <si>
    <t>Northampton</t>
  </si>
  <si>
    <t>NP</t>
  </si>
  <si>
    <t>Newport</t>
  </si>
  <si>
    <t>NR</t>
  </si>
  <si>
    <t>Norwich</t>
  </si>
  <si>
    <t>NW</t>
  </si>
  <si>
    <t>London Nw</t>
  </si>
  <si>
    <t>OL</t>
  </si>
  <si>
    <t>Oldham</t>
  </si>
  <si>
    <t>Serene</t>
  </si>
  <si>
    <t>OX</t>
  </si>
  <si>
    <t>Oxford</t>
  </si>
  <si>
    <t>PA</t>
  </si>
  <si>
    <t>Paisley</t>
  </si>
  <si>
    <t>PE</t>
  </si>
  <si>
    <t>Peterborough</t>
  </si>
  <si>
    <t>PH</t>
  </si>
  <si>
    <t>Perth</t>
  </si>
  <si>
    <t>Too Wide</t>
  </si>
  <si>
    <t>PL</t>
  </si>
  <si>
    <t>Plymouth</t>
  </si>
  <si>
    <t>White,Dark Bronze, Silver</t>
  </si>
  <si>
    <t>PO</t>
  </si>
  <si>
    <t>Portsmouth</t>
  </si>
  <si>
    <t>Infinity</t>
  </si>
  <si>
    <t>No Opt</t>
  </si>
  <si>
    <t>PR</t>
  </si>
  <si>
    <t>Preston</t>
  </si>
  <si>
    <t>RG</t>
  </si>
  <si>
    <t>Reading</t>
  </si>
  <si>
    <t>RH</t>
  </si>
  <si>
    <t>Redhill</t>
  </si>
  <si>
    <t>RM</t>
  </si>
  <si>
    <t>Romford</t>
  </si>
  <si>
    <t>S</t>
  </si>
  <si>
    <t>Sheffield</t>
  </si>
  <si>
    <t>SA</t>
  </si>
  <si>
    <t>Swansea</t>
  </si>
  <si>
    <t>SE</t>
  </si>
  <si>
    <t>London SE</t>
  </si>
  <si>
    <t>SG</t>
  </si>
  <si>
    <t>Stevenage</t>
  </si>
  <si>
    <t>SK</t>
  </si>
  <si>
    <t>Stockport</t>
  </si>
  <si>
    <t>SL</t>
  </si>
  <si>
    <t>Slough</t>
  </si>
  <si>
    <t>SM</t>
  </si>
  <si>
    <t>Sutton</t>
  </si>
  <si>
    <t>Distinction 2200mm</t>
  </si>
  <si>
    <t>SN</t>
  </si>
  <si>
    <t>Swindon</t>
  </si>
  <si>
    <t>Distinction 2400mm</t>
  </si>
  <si>
    <t>Distinction 2600mm</t>
  </si>
  <si>
    <t>SO</t>
  </si>
  <si>
    <t>Southampton</t>
  </si>
  <si>
    <t>Distinction (DBL)</t>
  </si>
  <si>
    <t>SP</t>
  </si>
  <si>
    <t>Salisbury</t>
  </si>
  <si>
    <t>SR</t>
  </si>
  <si>
    <t>Sunderland</t>
  </si>
  <si>
    <t>Executive (4" Housing)</t>
  </si>
  <si>
    <t xml:space="preserve">Many </t>
  </si>
  <si>
    <t>Colour, mesh, power, automation choices will considerably alter the example price</t>
  </si>
  <si>
    <t>SS</t>
  </si>
  <si>
    <t>Southend-On-Sea</t>
  </si>
  <si>
    <t>ST</t>
  </si>
  <si>
    <t>Stoke-On-Trent</t>
  </si>
  <si>
    <t>SW</t>
  </si>
  <si>
    <t>London SW</t>
  </si>
  <si>
    <t>Executive (5 1/2" Housing)</t>
  </si>
  <si>
    <t>SY</t>
  </si>
  <si>
    <t>Shrewsbury</t>
  </si>
  <si>
    <t>TA</t>
  </si>
  <si>
    <t>Taunton</t>
  </si>
  <si>
    <t>Executive (7 1/8" Housing)</t>
  </si>
  <si>
    <t>TD</t>
  </si>
  <si>
    <t>Galashiels</t>
  </si>
  <si>
    <t>TF</t>
  </si>
  <si>
    <t>Telford</t>
  </si>
  <si>
    <t>TN</t>
  </si>
  <si>
    <t>Tonbridge</t>
  </si>
  <si>
    <t>TQ</t>
  </si>
  <si>
    <t>Torquay</t>
  </si>
  <si>
    <t>Press Fit Single Door 1200mm by 2200mm</t>
  </si>
  <si>
    <t>TR</t>
  </si>
  <si>
    <t>Truro</t>
  </si>
  <si>
    <t>Press Fit Double Door 2400mm by 2200mm</t>
  </si>
  <si>
    <t>TS</t>
  </si>
  <si>
    <t>Cleveland</t>
  </si>
  <si>
    <t>Press Fit Window Pull Down Small 600mm by 1200mm</t>
  </si>
  <si>
    <t>TW</t>
  </si>
  <si>
    <t>Twickenham</t>
  </si>
  <si>
    <t>Press Fit Window Pull Down Medium 1200mm by 1200mm</t>
  </si>
  <si>
    <t>UB</t>
  </si>
  <si>
    <t>Southall</t>
  </si>
  <si>
    <t>Press Fit Window Pull Down Large 2200mm by 1200mm</t>
  </si>
  <si>
    <t>W</t>
  </si>
  <si>
    <t>London W</t>
  </si>
  <si>
    <t>WA</t>
  </si>
  <si>
    <t>Warrington</t>
  </si>
  <si>
    <t>Press Fit Window Pull Across Small 1200mm by 600mm</t>
  </si>
  <si>
    <t>WC</t>
  </si>
  <si>
    <t>London WC</t>
  </si>
  <si>
    <t>Press Fit Window Pull Across Medium 1200mm by 1200mm</t>
  </si>
  <si>
    <t>WD</t>
  </si>
  <si>
    <t>Watford</t>
  </si>
  <si>
    <t>Press Fit Window Pull Across Large 1200mm by 2200mm</t>
  </si>
  <si>
    <t>WF</t>
  </si>
  <si>
    <t>Wakefield</t>
  </si>
  <si>
    <t>WN</t>
  </si>
  <si>
    <t>Wigan</t>
  </si>
  <si>
    <t>WR</t>
  </si>
  <si>
    <t>Worcester</t>
  </si>
  <si>
    <t>WS</t>
  </si>
  <si>
    <t>Walsall</t>
  </si>
  <si>
    <t>WV</t>
  </si>
  <si>
    <t>Wolverhampton</t>
  </si>
  <si>
    <t>YO</t>
  </si>
  <si>
    <t>York</t>
  </si>
  <si>
    <t>ZE</t>
  </si>
  <si>
    <t>Lerwick</t>
  </si>
  <si>
    <t>IR</t>
  </si>
  <si>
    <t>Ireland</t>
  </si>
  <si>
    <t>B1</t>
  </si>
  <si>
    <t>B2</t>
  </si>
  <si>
    <t>B3</t>
  </si>
  <si>
    <t>B4</t>
  </si>
  <si>
    <t>B5</t>
  </si>
  <si>
    <t>B6</t>
  </si>
  <si>
    <t>B7</t>
  </si>
  <si>
    <t>B8</t>
  </si>
  <si>
    <t>B9</t>
  </si>
  <si>
    <t>E1</t>
  </si>
  <si>
    <t>E2</t>
  </si>
  <si>
    <t>E3</t>
  </si>
  <si>
    <t>E4</t>
  </si>
  <si>
    <t>E5</t>
  </si>
  <si>
    <t>E6</t>
  </si>
  <si>
    <t>E7</t>
  </si>
  <si>
    <t>E8</t>
  </si>
  <si>
    <t>E9</t>
  </si>
  <si>
    <t>G1</t>
  </si>
  <si>
    <t>G2</t>
  </si>
  <si>
    <t>G3</t>
  </si>
  <si>
    <t>G4</t>
  </si>
  <si>
    <t>G5</t>
  </si>
  <si>
    <t>G6</t>
  </si>
  <si>
    <t>G7</t>
  </si>
  <si>
    <t>G8</t>
  </si>
  <si>
    <t>G9</t>
  </si>
  <si>
    <t>L1</t>
  </si>
  <si>
    <t>L2</t>
  </si>
  <si>
    <t>L3</t>
  </si>
  <si>
    <t>L4</t>
  </si>
  <si>
    <t>L5</t>
  </si>
  <si>
    <t>L6</t>
  </si>
  <si>
    <t>L7</t>
  </si>
  <si>
    <t>L8</t>
  </si>
  <si>
    <t>L9</t>
  </si>
  <si>
    <t>M1</t>
  </si>
  <si>
    <t>M2</t>
  </si>
  <si>
    <t>M3</t>
  </si>
  <si>
    <t>M4</t>
  </si>
  <si>
    <t>M5</t>
  </si>
  <si>
    <t>M6</t>
  </si>
  <si>
    <t>M7</t>
  </si>
  <si>
    <t>M8</t>
  </si>
  <si>
    <t>M9</t>
  </si>
  <si>
    <t>N1</t>
  </si>
  <si>
    <t>N2</t>
  </si>
  <si>
    <t>N3</t>
  </si>
  <si>
    <t>N4</t>
  </si>
  <si>
    <t>N5</t>
  </si>
  <si>
    <t>N6</t>
  </si>
  <si>
    <t>N7</t>
  </si>
  <si>
    <t>N8</t>
  </si>
  <si>
    <t>N9</t>
  </si>
  <si>
    <t>S1</t>
  </si>
  <si>
    <t>S2</t>
  </si>
  <si>
    <t>S3</t>
  </si>
  <si>
    <t>S4</t>
  </si>
  <si>
    <t>S5</t>
  </si>
  <si>
    <t>S6</t>
  </si>
  <si>
    <t>S7</t>
  </si>
  <si>
    <t>S8</t>
  </si>
  <si>
    <t>S9</t>
  </si>
  <si>
    <t>W1</t>
  </si>
  <si>
    <t>W2</t>
  </si>
  <si>
    <t>W3</t>
  </si>
  <si>
    <t>W4</t>
  </si>
  <si>
    <t>W5</t>
  </si>
  <si>
    <t>W6</t>
  </si>
  <si>
    <t>W7</t>
  </si>
  <si>
    <t>W8</t>
  </si>
  <si>
    <t>W9</t>
  </si>
  <si>
    <t>PHANTOM REF</t>
  </si>
  <si>
    <t>LEGACY Pre cut for painting or wood graining - ensuring all profiles are in lay flat tubes and packed</t>
  </si>
  <si>
    <t>LEGACY Final cut for manufacturing</t>
  </si>
  <si>
    <t>Housing Cover</t>
  </si>
  <si>
    <t>Slide bar</t>
  </si>
  <si>
    <t>Track1</t>
  </si>
  <si>
    <t>Track2</t>
  </si>
  <si>
    <t>Product</t>
  </si>
  <si>
    <t>Quantity</t>
  </si>
  <si>
    <t>Housing Cover2 if double</t>
  </si>
  <si>
    <t>Slide bar2 if double</t>
  </si>
  <si>
    <t>Mesh1</t>
  </si>
  <si>
    <t>Mesh2</t>
  </si>
  <si>
    <t>Pole1</t>
  </si>
  <si>
    <t>Pole2 if double</t>
  </si>
  <si>
    <t>Roll control</t>
  </si>
  <si>
    <t>Track length</t>
  </si>
  <si>
    <t>ADDITIONAL NOTES</t>
  </si>
  <si>
    <t>SERENE Pre cut for painting or wood graining  - ensuring all profiles are in lay flat tubes and packed</t>
  </si>
  <si>
    <t>SERENE Final cut for manufacturing</t>
  </si>
  <si>
    <t>Pole</t>
  </si>
  <si>
    <t>DISTINCTION Pre cut for painting or wood graining  - ensuring all profiles are in lay flat tubes and packed</t>
  </si>
  <si>
    <t>DISTINCTION Final cut for manufacturing</t>
  </si>
  <si>
    <t>Send full kit pre drilled middle face of "U" profile</t>
  </si>
  <si>
    <t>Top rail1</t>
  </si>
  <si>
    <t>Top rail2</t>
  </si>
  <si>
    <t>Top rail inner1</t>
  </si>
  <si>
    <t>Top rail inner2</t>
  </si>
  <si>
    <t>Bottom rail1</t>
  </si>
  <si>
    <t>Bottom rail2</t>
  </si>
  <si>
    <t>Screen Cover1</t>
  </si>
  <si>
    <t>Screen Cover2</t>
  </si>
  <si>
    <t>Screen cartridge1</t>
  </si>
  <si>
    <t>Screen cartridge2</t>
  </si>
  <si>
    <t>Slide bar cover1</t>
  </si>
  <si>
    <t>Slide bar cover2</t>
  </si>
  <si>
    <t>Catch frame for single</t>
  </si>
  <si>
    <t>PRESSFIT no colour or wood grain options</t>
  </si>
  <si>
    <t>PRESSFIT DOORS final cut</t>
  </si>
  <si>
    <t>Housing1</t>
  </si>
  <si>
    <t>Housing2 IF DOUBLE</t>
  </si>
  <si>
    <t>Catch frame IF SINGLE</t>
  </si>
  <si>
    <t>Slidebar1</t>
  </si>
  <si>
    <t>Slidebar 2 if double</t>
  </si>
  <si>
    <t>Handle</t>
  </si>
  <si>
    <t>Remember Handle</t>
  </si>
  <si>
    <t>PRESSFIT PULL ACROSS WINDOWS final cut</t>
  </si>
  <si>
    <t>Housing</t>
  </si>
  <si>
    <t>Catch Plate</t>
  </si>
  <si>
    <t>Poles</t>
  </si>
  <si>
    <t>PRESSFIT PULL DOWN WINDOWS final cut</t>
  </si>
  <si>
    <t>Other parts list below</t>
  </si>
  <si>
    <t>Extras</t>
  </si>
  <si>
    <t>Part</t>
  </si>
  <si>
    <t>Size</t>
  </si>
  <si>
    <t>Supplier</t>
  </si>
  <si>
    <t>Phantom Screens UK Ltd</t>
  </si>
  <si>
    <t>Bank Details</t>
  </si>
  <si>
    <t>Bank name and address:</t>
  </si>
  <si>
    <t>Lloyds TSB</t>
  </si>
  <si>
    <t>Stamford Branch</t>
  </si>
  <si>
    <t>65 High Street</t>
  </si>
  <si>
    <t xml:space="preserve">Stamford </t>
  </si>
  <si>
    <t>Lincolnshire</t>
  </si>
  <si>
    <t>PE9 2AT</t>
  </si>
  <si>
    <t>IBAN</t>
  </si>
  <si>
    <t>GB73 LOYD 3098 0201 5489 44</t>
  </si>
  <si>
    <t>BIC</t>
  </si>
  <si>
    <t>LOYDGB21477</t>
  </si>
  <si>
    <t>3 weeks from Cleared Payment</t>
  </si>
  <si>
    <t>6 weeks from Cleared Payment</t>
  </si>
  <si>
    <t>Ral</t>
  </si>
  <si>
    <t>Ral uplift</t>
  </si>
  <si>
    <t>Ral up</t>
  </si>
  <si>
    <t>Ral os sin</t>
  </si>
  <si>
    <t>Ral os doub</t>
  </si>
  <si>
    <t>sing or double</t>
  </si>
  <si>
    <t>Sin or Double</t>
  </si>
  <si>
    <t>Double</t>
  </si>
  <si>
    <t>Oversize</t>
  </si>
  <si>
    <t>OS</t>
  </si>
  <si>
    <t>Step</t>
  </si>
  <si>
    <t>Wood up</t>
  </si>
  <si>
    <t>wood</t>
  </si>
  <si>
    <t>£10 per step for RAL</t>
  </si>
  <si>
    <t>WOOD up</t>
  </si>
  <si>
    <t>£13 per step for WOOD</t>
  </si>
  <si>
    <t>RAL</t>
  </si>
  <si>
    <t>WOOD</t>
  </si>
  <si>
    <t>paintUP</t>
  </si>
  <si>
    <t>RAL COLOUR:</t>
  </si>
  <si>
    <t>STOCK WHITE:</t>
  </si>
  <si>
    <r>
      <rPr>
        <b/>
        <sz val="10"/>
        <rFont val="Arial"/>
        <family val="2"/>
      </rPr>
      <t>COLOUR</t>
    </r>
    <r>
      <rPr>
        <sz val="10"/>
        <rFont val="Arial"/>
        <family val="2"/>
      </rPr>
      <t xml:space="preserve">  -</t>
    </r>
    <r>
      <rPr>
        <b/>
        <sz val="10"/>
        <rFont val="Arial"/>
        <family val="2"/>
      </rPr>
      <t xml:space="preserve"> No Woodgrain</t>
    </r>
    <r>
      <rPr>
        <sz val="10"/>
        <rFont val="Arial"/>
        <family val="2"/>
      </rPr>
      <t xml:space="preserve">
(White (STND), Colour  plus £200 paint set up fee.</t>
    </r>
  </si>
  <si>
    <r>
      <rPr>
        <b/>
        <sz val="10"/>
        <rFont val="Arial"/>
        <family val="2"/>
      </rPr>
      <t>COLOUR</t>
    </r>
    <r>
      <rPr>
        <sz val="10"/>
        <rFont val="Arial"/>
        <family val="2"/>
      </rPr>
      <t xml:space="preserve"> 
(White (STND), Colour or Wood. Colour there will be a painting surcharge £200 per colour. Please supply colour and wood grain codes)</t>
    </r>
  </si>
  <si>
    <t>Price</t>
  </si>
  <si>
    <t>white</t>
  </si>
  <si>
    <t>x</t>
  </si>
  <si>
    <t>REG</t>
  </si>
  <si>
    <t>LARGE</t>
  </si>
  <si>
    <t>EXTRA LARGE</t>
  </si>
  <si>
    <t>colour</t>
  </si>
  <si>
    <t>Collumn</t>
  </si>
  <si>
    <t>g7</t>
  </si>
  <si>
    <t>h7</t>
  </si>
  <si>
    <t>i7</t>
  </si>
  <si>
    <t>Box Profile</t>
  </si>
  <si>
    <t>Spray</t>
  </si>
  <si>
    <t>Ty</t>
  </si>
  <si>
    <t>BEST CONTACT MOBILE NUMBER FOR THIS ORDER:</t>
  </si>
  <si>
    <t>BEST EMAIL CONTACT FOR THIS ORDER :</t>
  </si>
  <si>
    <t>Every cell in a row must have data</t>
  </si>
  <si>
    <t>Including your delivery postcode</t>
  </si>
  <si>
    <t>Paint set up fee per colour</t>
  </si>
  <si>
    <t>If no price shown, check your data</t>
  </si>
  <si>
    <r>
      <rPr>
        <b/>
        <sz val="10"/>
        <rFont val="Arial"/>
        <family val="2"/>
      </rPr>
      <t>ORDER NOTES</t>
    </r>
    <r>
      <rPr>
        <sz val="10"/>
        <rFont val="Arial"/>
        <family val="2"/>
      </rPr>
      <t xml:space="preserve">
 (eg paint colour codes, gloss/matt 
finish, sizes of subframes, etc.)</t>
    </r>
  </si>
  <si>
    <t>MESH OPTIONS</t>
  </si>
  <si>
    <t>MESH ONLY</t>
  </si>
  <si>
    <t>WHITE ONLY</t>
  </si>
  <si>
    <t>FACE FIT</t>
  </si>
  <si>
    <t>Legacy Price grid</t>
  </si>
  <si>
    <t>Distinction price grid</t>
  </si>
  <si>
    <r>
      <rPr>
        <b/>
        <sz val="10"/>
        <rFont val="Arial"/>
        <family val="2"/>
      </rPr>
      <t>PRODUCT</t>
    </r>
    <r>
      <rPr>
        <sz val="10"/>
        <rFont val="Arial"/>
        <family val="2"/>
      </rPr>
      <t xml:space="preserve"> 
(Please select from the drop down 
list in each cell, for offset splits order two single screens of the correct width and inform customer services in the covering email and notes)</t>
    </r>
  </si>
  <si>
    <t>Please make sure you populate the whole row on every screen order.</t>
  </si>
  <si>
    <t>Double door less than 1220mm wide</t>
  </si>
  <si>
    <t>Yes (+£20 per cassette)</t>
  </si>
  <si>
    <t>Latching Handle (Factory fitted Cost Option +£30)</t>
  </si>
  <si>
    <t>2024 price list</t>
  </si>
  <si>
    <t>SOFT CLOSE OPTION UPTO 1525MM WIDTH</t>
  </si>
  <si>
    <t>Please add the number of paint colours here if over 1:</t>
  </si>
  <si>
    <t>FITTING METHOD FACE FIX ONLY</t>
  </si>
  <si>
    <t>2025 price list</t>
  </si>
  <si>
    <r>
      <t xml:space="preserve">PHANTOM SCREENS ORDER FORM </t>
    </r>
    <r>
      <rPr>
        <sz val="16"/>
        <rFont val="Arial"/>
        <family val="2"/>
      </rPr>
      <t>(Version 75 May 2025)</t>
    </r>
    <r>
      <rPr>
        <sz val="26"/>
        <rFont val="Arial"/>
        <family val="2"/>
      </rPr>
      <t xml:space="preserve">
</t>
    </r>
    <r>
      <rPr>
        <sz val="22"/>
        <rFont val="Arial"/>
        <family val="2"/>
      </rPr>
      <t>Save with your customer's reference and Email to: orders@phantom-screens.co.uk                                             Please save in Excel and populate every cell to calculate a total price.                                                                    If there is not a total price please check the form you find the error before emailing.</t>
    </r>
  </si>
  <si>
    <t>Please use this link to our resources page for help. https://phantom-fly-screens.co.uk/trade-resources                                                               Remember our new Stock White RAL9003 30% or semi gloss                                Please state OLD  White to match to previous installs</t>
  </si>
  <si>
    <t>Controlux Ltd</t>
  </si>
  <si>
    <t>Ben Baker</t>
  </si>
  <si>
    <t>info@controlux.co.uk</t>
  </si>
  <si>
    <t>KT9 1BD</t>
  </si>
  <si>
    <t>Trident Court</t>
  </si>
  <si>
    <t>1 Oakcroft Road</t>
  </si>
  <si>
    <t>Chessington</t>
  </si>
  <si>
    <t xml:space="preserve">Brush Seal to be located on the back of Bottom bar on all three screens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</si>
</sst>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quot;£&quot;* #,##0.00_-;_-&quot;£&quot;* &quot;-&quot;??_-;_-@_-"/>
    <numFmt numFmtId="164" formatCode="#\ ?/8"/>
    <numFmt numFmtId="165" formatCode="#,##0_ ;\-#,##0\ "/>
    <numFmt numFmtId="166" formatCode="_-[$£-809]* #,##0_-;\-[$£-809]* #,##0_-;_-[$£-809]* &quot;-&quot;??_-;_-@_-"/>
  </numFmts>
  <fonts count="23" x14ac:knownFonts="1">
    <font>
      <sz val="11"/>
      <color theme="1"/>
      <name val="Calibri"/>
      <family val="2"/>
      <scheme val="minor"/>
    </font>
    <font>
      <sz val="11"/>
      <color indexed="8"/>
      <name val="Calibri"/>
      <family val="2"/>
    </font>
    <font>
      <b/>
      <sz val="10"/>
      <name val="Arial"/>
      <family val="2"/>
    </font>
    <font>
      <u/>
      <sz val="11"/>
      <color theme="10"/>
      <name val="Calibri"/>
      <family val="2"/>
    </font>
    <font>
      <sz val="26"/>
      <name val="Arial"/>
      <family val="2"/>
    </font>
    <font>
      <sz val="11"/>
      <name val="Arial"/>
      <family val="2"/>
    </font>
    <font>
      <sz val="16"/>
      <name val="Arial"/>
      <family val="2"/>
    </font>
    <font>
      <u/>
      <sz val="11"/>
      <name val="Arial"/>
      <family val="2"/>
    </font>
    <font>
      <sz val="10"/>
      <name val="Arial"/>
      <family val="2"/>
    </font>
    <font>
      <u/>
      <sz val="11"/>
      <color theme="10"/>
      <name val="Arial"/>
      <family val="2"/>
    </font>
    <font>
      <sz val="11"/>
      <color theme="1"/>
      <name val="Arial"/>
      <family val="2"/>
    </font>
    <font>
      <sz val="26"/>
      <color theme="0"/>
      <name val="Arial"/>
      <family val="2"/>
    </font>
    <font>
      <sz val="20"/>
      <color theme="0"/>
      <name val="Arial"/>
      <family val="2"/>
    </font>
    <font>
      <sz val="11"/>
      <color theme="0"/>
      <name val="Calibri"/>
      <family val="2"/>
      <scheme val="minor"/>
    </font>
    <font>
      <u/>
      <sz val="11"/>
      <color theme="11"/>
      <name val="Calibri"/>
      <family val="2"/>
      <scheme val="minor"/>
    </font>
    <font>
      <sz val="12"/>
      <name val="Arial"/>
      <family val="2"/>
    </font>
    <font>
      <sz val="20"/>
      <name val="Arial"/>
      <family val="2"/>
    </font>
    <font>
      <sz val="22"/>
      <name val="Arial"/>
      <family val="2"/>
    </font>
    <font>
      <sz val="22"/>
      <color theme="1"/>
      <name val="Calibri"/>
      <family val="2"/>
      <scheme val="minor"/>
    </font>
    <font>
      <b/>
      <sz val="22"/>
      <name val="Arial"/>
      <family val="2"/>
    </font>
    <font>
      <sz val="8"/>
      <color rgb="FF454545"/>
      <name val="Courier New"/>
      <family val="3"/>
    </font>
    <font>
      <b/>
      <sz val="12"/>
      <name val="Arial"/>
      <family val="2"/>
    </font>
    <font>
      <u/>
      <sz val="12"/>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CCFF"/>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3" tint="-0.249977111117893"/>
        <bgColor indexed="64"/>
      </patternFill>
    </fill>
    <fill>
      <patternFill patternType="solid">
        <fgColor theme="4" tint="0.79998168889431442"/>
        <bgColor indexed="64"/>
      </patternFill>
    </fill>
    <fill>
      <patternFill patternType="lightTrellis">
        <bgColor theme="0"/>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00B050"/>
        <bgColor indexed="64"/>
      </patternFill>
    </fill>
    <fill>
      <patternFill patternType="solid">
        <fgColor theme="6" tint="-0.249977111117893"/>
        <bgColor indexed="64"/>
      </patternFill>
    </fill>
    <fill>
      <patternFill patternType="solid">
        <fgColor theme="2"/>
        <bgColor indexed="64"/>
      </patternFill>
    </fill>
    <fill>
      <patternFill patternType="solid">
        <fgColor theme="6" tint="0.599993896298104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indexed="64"/>
      </left>
      <right/>
      <top style="medium">
        <color indexed="64"/>
      </top>
      <bottom/>
      <diagonal/>
    </border>
    <border>
      <left/>
      <right/>
      <top style="medium">
        <color indexed="64"/>
      </top>
      <bottom style="thin">
        <color auto="1"/>
      </bottom>
      <diagonal/>
    </border>
    <border>
      <left/>
      <right/>
      <top style="medium">
        <color indexed="64"/>
      </top>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diagonal/>
    </border>
    <border>
      <left style="medium">
        <color indexed="64"/>
      </left>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7">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187">
    <xf numFmtId="0" fontId="0" fillId="0" borderId="0" xfId="0"/>
    <xf numFmtId="0" fontId="5" fillId="2" borderId="0" xfId="0" applyFont="1" applyFill="1" applyProtection="1">
      <protection hidden="1"/>
    </xf>
    <xf numFmtId="0" fontId="5" fillId="0" borderId="0" xfId="0" applyFont="1" applyProtection="1">
      <protection hidden="1"/>
    </xf>
    <xf numFmtId="0" fontId="5" fillId="0" borderId="0" xfId="0" applyFont="1"/>
    <xf numFmtId="44" fontId="5" fillId="2" borderId="0" xfId="1" applyFont="1" applyFill="1" applyBorder="1" applyProtection="1">
      <protection hidden="1"/>
    </xf>
    <xf numFmtId="0" fontId="8" fillId="2" borderId="0" xfId="0" applyFont="1" applyFill="1" applyAlignment="1" applyProtection="1">
      <alignment horizontal="center"/>
      <protection hidden="1"/>
    </xf>
    <xf numFmtId="1" fontId="5" fillId="2" borderId="0" xfId="0" applyNumberFormat="1" applyFont="1" applyFill="1" applyProtection="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left"/>
      <protection hidden="1"/>
    </xf>
    <xf numFmtId="0" fontId="5" fillId="2" borderId="0" xfId="1" applyNumberFormat="1" applyFont="1" applyFill="1" applyBorder="1" applyProtection="1">
      <protection hidden="1"/>
    </xf>
    <xf numFmtId="1" fontId="8" fillId="2" borderId="1" xfId="0" applyNumberFormat="1"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49" fontId="8" fillId="2" borderId="1" xfId="0" applyNumberFormat="1" applyFont="1" applyFill="1" applyBorder="1" applyAlignment="1" applyProtection="1">
      <alignment horizontal="center"/>
      <protection locked="0"/>
    </xf>
    <xf numFmtId="49" fontId="8" fillId="2" borderId="0" xfId="0" applyNumberFormat="1" applyFont="1" applyFill="1" applyAlignment="1" applyProtection="1">
      <alignment horizontal="left"/>
      <protection hidden="1"/>
    </xf>
    <xf numFmtId="44" fontId="8" fillId="2" borderId="0" xfId="1" applyFont="1" applyFill="1" applyBorder="1" applyAlignment="1" applyProtection="1">
      <alignment horizontal="center"/>
      <protection hidden="1"/>
    </xf>
    <xf numFmtId="49" fontId="8" fillId="2" borderId="0" xfId="0" applyNumberFormat="1" applyFont="1" applyFill="1" applyAlignment="1" applyProtection="1">
      <alignment horizontal="center" vertical="center"/>
      <protection hidden="1"/>
    </xf>
    <xf numFmtId="1" fontId="8" fillId="2" borderId="0" xfId="0" applyNumberFormat="1" applyFont="1" applyFill="1" applyAlignment="1" applyProtection="1">
      <alignment horizontal="center"/>
      <protection hidden="1"/>
    </xf>
    <xf numFmtId="1" fontId="5" fillId="4" borderId="0" xfId="0" applyNumberFormat="1" applyFont="1" applyFill="1" applyProtection="1">
      <protection hidden="1"/>
    </xf>
    <xf numFmtId="164" fontId="5" fillId="2" borderId="0" xfId="0" applyNumberFormat="1" applyFont="1" applyFill="1" applyAlignment="1" applyProtection="1">
      <alignment horizontal="right" vertical="center"/>
      <protection hidden="1"/>
    </xf>
    <xf numFmtId="9" fontId="5" fillId="2" borderId="0" xfId="3" applyFont="1" applyFill="1" applyBorder="1" applyProtection="1">
      <protection hidden="1"/>
    </xf>
    <xf numFmtId="44" fontId="5" fillId="2" borderId="0" xfId="0" applyNumberFormat="1" applyFont="1" applyFill="1" applyProtection="1">
      <protection hidden="1"/>
    </xf>
    <xf numFmtId="0" fontId="10" fillId="0" borderId="0" xfId="0" applyFont="1"/>
    <xf numFmtId="0" fontId="5" fillId="2" borderId="0" xfId="0" applyFont="1" applyFill="1"/>
    <xf numFmtId="44" fontId="5" fillId="6" borderId="0" xfId="1" applyFont="1" applyFill="1" applyBorder="1" applyProtection="1">
      <protection hidden="1"/>
    </xf>
    <xf numFmtId="165" fontId="5" fillId="6" borderId="1" xfId="1" applyNumberFormat="1" applyFont="1" applyFill="1" applyBorder="1" applyProtection="1">
      <protection hidden="1"/>
    </xf>
    <xf numFmtId="165" fontId="5" fillId="5" borderId="1" xfId="1" applyNumberFormat="1" applyFont="1" applyFill="1" applyBorder="1" applyProtection="1">
      <protection hidden="1"/>
    </xf>
    <xf numFmtId="44" fontId="5" fillId="5" borderId="0" xfId="1" applyFont="1" applyFill="1" applyBorder="1" applyProtection="1">
      <protection hidden="1"/>
    </xf>
    <xf numFmtId="0" fontId="5" fillId="7" borderId="0" xfId="0" applyFont="1" applyFill="1" applyProtection="1">
      <protection hidden="1"/>
    </xf>
    <xf numFmtId="0" fontId="2" fillId="9" borderId="1" xfId="0" applyFont="1" applyFill="1" applyBorder="1" applyProtection="1">
      <protection hidden="1"/>
    </xf>
    <xf numFmtId="0" fontId="0" fillId="0" borderId="0" xfId="0" applyProtection="1">
      <protection hidden="1"/>
    </xf>
    <xf numFmtId="0" fontId="5" fillId="13" borderId="0" xfId="0" applyFont="1" applyFill="1" applyProtection="1">
      <protection hidden="1"/>
    </xf>
    <xf numFmtId="0" fontId="5" fillId="14" borderId="0" xfId="0" applyFont="1" applyFill="1" applyProtection="1">
      <protection hidden="1"/>
    </xf>
    <xf numFmtId="1" fontId="15" fillId="13" borderId="1" xfId="0" applyNumberFormat="1" applyFont="1" applyFill="1" applyBorder="1" applyAlignment="1" applyProtection="1">
      <alignment horizontal="center"/>
      <protection hidden="1"/>
    </xf>
    <xf numFmtId="0" fontId="5" fillId="0" borderId="1" xfId="0" applyFont="1" applyBorder="1" applyProtection="1">
      <protection hidden="1"/>
    </xf>
    <xf numFmtId="44" fontId="8" fillId="2" borderId="1" xfId="1" applyFont="1" applyFill="1" applyBorder="1" applyAlignment="1" applyProtection="1">
      <alignment horizontal="center"/>
      <protection hidden="1"/>
    </xf>
    <xf numFmtId="0" fontId="9" fillId="0" borderId="0" xfId="2" applyFont="1" applyBorder="1" applyAlignment="1" applyProtection="1">
      <alignment horizontal="left"/>
      <protection hidden="1"/>
    </xf>
    <xf numFmtId="0" fontId="7" fillId="0" borderId="0" xfId="2" applyFont="1" applyBorder="1" applyAlignment="1" applyProtection="1">
      <alignment horizontal="left"/>
      <protection hidden="1"/>
    </xf>
    <xf numFmtId="0" fontId="9" fillId="0" borderId="1" xfId="2" applyFont="1" applyBorder="1" applyAlignment="1" applyProtection="1">
      <alignment horizontal="left"/>
      <protection hidden="1"/>
    </xf>
    <xf numFmtId="0" fontId="7" fillId="0" borderId="1" xfId="2" applyFont="1" applyBorder="1" applyAlignment="1" applyProtection="1">
      <alignment horizontal="left"/>
      <protection hidden="1"/>
    </xf>
    <xf numFmtId="0" fontId="5" fillId="0" borderId="1" xfId="0" applyFont="1" applyBorder="1" applyAlignment="1" applyProtection="1">
      <alignment horizontal="left"/>
      <protection hidden="1"/>
    </xf>
    <xf numFmtId="0" fontId="2" fillId="9" borderId="5" xfId="0" applyFont="1" applyFill="1" applyBorder="1" applyAlignment="1" applyProtection="1">
      <alignment horizontal="center" vertical="center" wrapText="1"/>
      <protection hidden="1"/>
    </xf>
    <xf numFmtId="1" fontId="8" fillId="2" borderId="1" xfId="0" applyNumberFormat="1" applyFont="1" applyFill="1" applyBorder="1" applyAlignment="1" applyProtection="1">
      <alignment horizontal="center"/>
      <protection hidden="1"/>
    </xf>
    <xf numFmtId="49" fontId="8" fillId="10" borderId="1" xfId="0" applyNumberFormat="1" applyFont="1" applyFill="1" applyBorder="1" applyAlignment="1" applyProtection="1">
      <alignment horizontal="center"/>
      <protection hidden="1"/>
    </xf>
    <xf numFmtId="0" fontId="2" fillId="9" borderId="1" xfId="0" applyFont="1" applyFill="1" applyBorder="1" applyAlignment="1" applyProtection="1">
      <alignment horizontal="center" vertical="center" wrapText="1"/>
      <protection hidden="1"/>
    </xf>
    <xf numFmtId="49" fontId="8" fillId="2" borderId="1" xfId="0" applyNumberFormat="1" applyFont="1" applyFill="1" applyBorder="1" applyAlignment="1" applyProtection="1">
      <alignment horizontal="right"/>
      <protection hidden="1"/>
    </xf>
    <xf numFmtId="0" fontId="8" fillId="2" borderId="1" xfId="0" applyFont="1" applyFill="1" applyBorder="1" applyAlignment="1" applyProtection="1">
      <alignment horizontal="right"/>
      <protection hidden="1"/>
    </xf>
    <xf numFmtId="49" fontId="2" fillId="2" borderId="1" xfId="0" applyNumberFormat="1" applyFont="1" applyFill="1" applyBorder="1" applyAlignment="1" applyProtection="1">
      <alignment horizontal="right"/>
      <protection hidden="1"/>
    </xf>
    <xf numFmtId="44" fontId="2" fillId="2" borderId="1" xfId="1" applyFont="1" applyFill="1" applyBorder="1" applyAlignment="1" applyProtection="1">
      <alignment horizontal="center"/>
      <protection hidden="1"/>
    </xf>
    <xf numFmtId="1" fontId="15" fillId="5" borderId="0" xfId="0" applyNumberFormat="1" applyFont="1" applyFill="1" applyAlignment="1" applyProtection="1">
      <alignment horizontal="center" vertical="center" textRotation="42" wrapText="1"/>
      <protection hidden="1"/>
    </xf>
    <xf numFmtId="1" fontId="5" fillId="2" borderId="0" xfId="1" applyNumberFormat="1" applyFont="1" applyFill="1" applyBorder="1" applyProtection="1">
      <protection hidden="1"/>
    </xf>
    <xf numFmtId="1" fontId="17" fillId="12" borderId="1" xfId="0" applyNumberFormat="1" applyFont="1" applyFill="1" applyBorder="1" applyProtection="1">
      <protection hidden="1"/>
    </xf>
    <xf numFmtId="1" fontId="17" fillId="0" borderId="1" xfId="0" applyNumberFormat="1" applyFont="1" applyBorder="1" applyProtection="1">
      <protection hidden="1"/>
    </xf>
    <xf numFmtId="0" fontId="18" fillId="0" borderId="0" xfId="0" applyFont="1" applyProtection="1">
      <protection hidden="1"/>
    </xf>
    <xf numFmtId="1" fontId="17" fillId="0" borderId="1" xfId="0" applyNumberFormat="1" applyFont="1" applyBorder="1" applyAlignment="1" applyProtection="1">
      <alignment horizontal="center" vertical="center" wrapText="1"/>
      <protection hidden="1"/>
    </xf>
    <xf numFmtId="1" fontId="16" fillId="5" borderId="1" xfId="0" applyNumberFormat="1" applyFont="1" applyFill="1" applyBorder="1" applyAlignment="1" applyProtection="1">
      <alignment horizontal="center" textRotation="42" wrapText="1"/>
      <protection hidden="1"/>
    </xf>
    <xf numFmtId="1" fontId="16" fillId="5" borderId="0" xfId="0" applyNumberFormat="1" applyFont="1" applyFill="1" applyAlignment="1" applyProtection="1">
      <alignment horizontal="center" textRotation="42" wrapText="1"/>
      <protection hidden="1"/>
    </xf>
    <xf numFmtId="0" fontId="19" fillId="9" borderId="1" xfId="0" applyFont="1" applyFill="1" applyBorder="1" applyAlignment="1" applyProtection="1">
      <alignment horizontal="left"/>
      <protection hidden="1"/>
    </xf>
    <xf numFmtId="0" fontId="17" fillId="0" borderId="2" xfId="0" applyFont="1" applyBorder="1" applyAlignment="1" applyProtection="1">
      <alignment horizontal="left"/>
      <protection locked="0"/>
    </xf>
    <xf numFmtId="0" fontId="17" fillId="0" borderId="3" xfId="0" applyFont="1" applyBorder="1" applyAlignment="1" applyProtection="1">
      <alignment horizontal="left"/>
      <protection locked="0"/>
    </xf>
    <xf numFmtId="0" fontId="17" fillId="0" borderId="4" xfId="0" applyFont="1" applyBorder="1" applyAlignment="1" applyProtection="1">
      <alignment horizontal="left"/>
      <protection locked="0"/>
    </xf>
    <xf numFmtId="165" fontId="5" fillId="2" borderId="0" xfId="1" applyNumberFormat="1" applyFont="1" applyFill="1" applyBorder="1" applyProtection="1">
      <protection hidden="1"/>
    </xf>
    <xf numFmtId="165" fontId="5" fillId="2" borderId="0" xfId="0" applyNumberFormat="1" applyFont="1" applyFill="1" applyProtection="1">
      <protection hidden="1"/>
    </xf>
    <xf numFmtId="44" fontId="5" fillId="3" borderId="0" xfId="1" applyFont="1" applyFill="1" applyBorder="1" applyProtection="1">
      <protection hidden="1"/>
    </xf>
    <xf numFmtId="44" fontId="5" fillId="15" borderId="0" xfId="1" applyFont="1" applyFill="1" applyBorder="1" applyProtection="1">
      <protection hidden="1"/>
    </xf>
    <xf numFmtId="0" fontId="5" fillId="15" borderId="0" xfId="0" applyFont="1" applyFill="1" applyProtection="1">
      <protection hidden="1"/>
    </xf>
    <xf numFmtId="0" fontId="20" fillId="0" borderId="0" xfId="0" applyFont="1"/>
    <xf numFmtId="0" fontId="8" fillId="0" borderId="0" xfId="0" applyFont="1" applyAlignment="1" applyProtection="1">
      <alignment horizontal="left"/>
      <protection hidden="1"/>
    </xf>
    <xf numFmtId="0" fontId="2" fillId="0" borderId="1" xfId="0" applyFont="1" applyBorder="1"/>
    <xf numFmtId="0" fontId="0" fillId="0" borderId="1" xfId="0" applyBorder="1"/>
    <xf numFmtId="49" fontId="0" fillId="0" borderId="1" xfId="0" applyNumberFormat="1" applyBorder="1" applyAlignment="1">
      <alignment horizontal="left"/>
    </xf>
    <xf numFmtId="49" fontId="8" fillId="2" borderId="0" xfId="0" applyNumberFormat="1" applyFont="1" applyFill="1" applyAlignment="1" applyProtection="1">
      <alignment horizontal="right"/>
      <protection hidden="1"/>
    </xf>
    <xf numFmtId="1" fontId="5" fillId="6" borderId="0" xfId="0" applyNumberFormat="1" applyFont="1" applyFill="1" applyProtection="1">
      <protection hidden="1"/>
    </xf>
    <xf numFmtId="165" fontId="5" fillId="6" borderId="0" xfId="0" applyNumberFormat="1" applyFont="1" applyFill="1" applyProtection="1">
      <protection hidden="1"/>
    </xf>
    <xf numFmtId="0" fontId="5" fillId="16" borderId="0" xfId="0" applyFont="1" applyFill="1" applyProtection="1">
      <protection hidden="1"/>
    </xf>
    <xf numFmtId="1" fontId="8" fillId="16" borderId="0" xfId="0" applyNumberFormat="1" applyFont="1" applyFill="1" applyAlignment="1" applyProtection="1">
      <alignment horizontal="center"/>
      <protection hidden="1"/>
    </xf>
    <xf numFmtId="1" fontId="5" fillId="16" borderId="0" xfId="0" applyNumberFormat="1" applyFont="1" applyFill="1" applyProtection="1">
      <protection hidden="1"/>
    </xf>
    <xf numFmtId="44" fontId="5" fillId="16" borderId="0" xfId="1" applyFont="1" applyFill="1" applyBorder="1" applyProtection="1">
      <protection hidden="1"/>
    </xf>
    <xf numFmtId="0" fontId="5" fillId="16" borderId="0" xfId="1" applyNumberFormat="1" applyFont="1" applyFill="1" applyBorder="1" applyProtection="1">
      <protection hidden="1"/>
    </xf>
    <xf numFmtId="0" fontId="8" fillId="16" borderId="0" xfId="0" applyFont="1" applyFill="1" applyAlignment="1" applyProtection="1">
      <alignment horizontal="center"/>
      <protection hidden="1"/>
    </xf>
    <xf numFmtId="0" fontId="5" fillId="16" borderId="0" xfId="0" applyFont="1" applyFill="1"/>
    <xf numFmtId="0" fontId="5" fillId="17" borderId="0" xfId="0" applyFont="1" applyFill="1" applyProtection="1">
      <protection hidden="1"/>
    </xf>
    <xf numFmtId="1" fontId="8" fillId="17" borderId="0" xfId="0" applyNumberFormat="1" applyFont="1" applyFill="1" applyAlignment="1" applyProtection="1">
      <alignment horizontal="center"/>
      <protection hidden="1"/>
    </xf>
    <xf numFmtId="1" fontId="5" fillId="17" borderId="0" xfId="0" applyNumberFormat="1" applyFont="1" applyFill="1" applyProtection="1">
      <protection hidden="1"/>
    </xf>
    <xf numFmtId="44" fontId="5" fillId="17" borderId="0" xfId="1" applyFont="1" applyFill="1" applyBorder="1" applyProtection="1">
      <protection hidden="1"/>
    </xf>
    <xf numFmtId="0" fontId="8" fillId="17" borderId="0" xfId="0" applyFont="1" applyFill="1" applyAlignment="1" applyProtection="1">
      <alignment horizontal="center"/>
      <protection hidden="1"/>
    </xf>
    <xf numFmtId="0" fontId="5" fillId="17" borderId="0" xfId="0" applyFont="1" applyFill="1"/>
    <xf numFmtId="0" fontId="5" fillId="0" borderId="0" xfId="0" applyFont="1" applyAlignment="1" applyProtection="1">
      <alignment horizontal="left"/>
      <protection hidden="1"/>
    </xf>
    <xf numFmtId="0" fontId="8" fillId="9" borderId="1" xfId="0" applyFont="1" applyFill="1" applyBorder="1" applyAlignment="1" applyProtection="1">
      <alignment horizontal="center" vertical="center" wrapText="1"/>
      <protection hidden="1"/>
    </xf>
    <xf numFmtId="0" fontId="8" fillId="9" borderId="5" xfId="0" applyFont="1" applyFill="1" applyBorder="1" applyAlignment="1" applyProtection="1">
      <alignment horizontal="center" vertical="center" wrapText="1"/>
      <protection hidden="1"/>
    </xf>
    <xf numFmtId="49" fontId="0" fillId="0" borderId="0" xfId="0" applyNumberFormat="1"/>
    <xf numFmtId="44" fontId="8" fillId="2" borderId="4" xfId="1" applyFont="1" applyFill="1" applyBorder="1" applyAlignment="1" applyProtection="1">
      <alignment horizontal="center"/>
      <protection hidden="1"/>
    </xf>
    <xf numFmtId="0" fontId="4" fillId="0" borderId="8" xfId="0" applyFont="1" applyBorder="1" applyProtection="1">
      <protection hidden="1"/>
    </xf>
    <xf numFmtId="0" fontId="5" fillId="0" borderId="10" xfId="0" applyFont="1" applyBorder="1" applyProtection="1">
      <protection hidden="1"/>
    </xf>
    <xf numFmtId="0" fontId="7" fillId="0" borderId="17" xfId="0" applyFont="1" applyBorder="1" applyProtection="1">
      <protection hidden="1"/>
    </xf>
    <xf numFmtId="0" fontId="5" fillId="0" borderId="16" xfId="0" applyFont="1" applyBorder="1" applyAlignment="1" applyProtection="1">
      <alignment horizontal="left"/>
      <protection hidden="1"/>
    </xf>
    <xf numFmtId="0" fontId="7" fillId="0" borderId="14" xfId="0" applyFont="1" applyBorder="1" applyProtection="1">
      <protection hidden="1"/>
    </xf>
    <xf numFmtId="0" fontId="5" fillId="0" borderId="15" xfId="0" applyFont="1" applyBorder="1" applyAlignment="1" applyProtection="1">
      <alignment horizontal="left"/>
      <protection hidden="1"/>
    </xf>
    <xf numFmtId="0" fontId="8" fillId="9" borderId="18" xfId="0" applyFont="1" applyFill="1" applyBorder="1" applyAlignment="1" applyProtection="1">
      <alignment horizontal="center" vertical="center" wrapText="1"/>
      <protection hidden="1"/>
    </xf>
    <xf numFmtId="49" fontId="8" fillId="2" borderId="14" xfId="0" applyNumberFormat="1" applyFont="1" applyFill="1" applyBorder="1" applyAlignment="1" applyProtection="1">
      <alignment horizontal="left"/>
      <protection locked="0"/>
    </xf>
    <xf numFmtId="0" fontId="8" fillId="9" borderId="14" xfId="0" applyFont="1" applyFill="1" applyBorder="1" applyAlignment="1" applyProtection="1">
      <alignment horizontal="center" vertical="center" wrapText="1"/>
      <protection hidden="1"/>
    </xf>
    <xf numFmtId="49" fontId="8" fillId="2" borderId="14" xfId="0" applyNumberFormat="1" applyFont="1" applyFill="1" applyBorder="1" applyAlignment="1" applyProtection="1">
      <alignment horizontal="left"/>
      <protection hidden="1"/>
    </xf>
    <xf numFmtId="0" fontId="8" fillId="2" borderId="15" xfId="0" applyFont="1" applyFill="1" applyBorder="1" applyAlignment="1" applyProtection="1">
      <alignment horizontal="left"/>
      <protection hidden="1"/>
    </xf>
    <xf numFmtId="49" fontId="2" fillId="2" borderId="14" xfId="0" applyNumberFormat="1" applyFont="1" applyFill="1" applyBorder="1" applyAlignment="1" applyProtection="1">
      <alignment horizontal="left"/>
      <protection hidden="1"/>
    </xf>
    <xf numFmtId="49" fontId="8" fillId="11" borderId="22" xfId="0" applyNumberFormat="1" applyFont="1" applyFill="1" applyBorder="1" applyAlignment="1" applyProtection="1">
      <alignment horizontal="center" vertical="center"/>
      <protection hidden="1"/>
    </xf>
    <xf numFmtId="49" fontId="8" fillId="11" borderId="23" xfId="0" applyNumberFormat="1" applyFont="1" applyFill="1" applyBorder="1" applyAlignment="1" applyProtection="1">
      <alignment horizontal="left" vertical="center"/>
      <protection hidden="1"/>
    </xf>
    <xf numFmtId="49" fontId="8" fillId="11" borderId="24" xfId="0" applyNumberFormat="1" applyFont="1" applyFill="1" applyBorder="1" applyAlignment="1" applyProtection="1">
      <alignment horizontal="left" vertical="center"/>
      <protection hidden="1"/>
    </xf>
    <xf numFmtId="0" fontId="0" fillId="5" borderId="0" xfId="0" applyFill="1"/>
    <xf numFmtId="0" fontId="5" fillId="5" borderId="0" xfId="0" applyFont="1" applyFill="1"/>
    <xf numFmtId="0" fontId="5" fillId="5" borderId="0" xfId="0" applyFont="1" applyFill="1" applyProtection="1">
      <protection hidden="1"/>
    </xf>
    <xf numFmtId="49" fontId="8" fillId="2" borderId="1" xfId="0" applyNumberFormat="1" applyFont="1" applyFill="1" applyBorder="1" applyAlignment="1" applyProtection="1">
      <alignment horizontal="left"/>
      <protection hidden="1"/>
    </xf>
    <xf numFmtId="49" fontId="8" fillId="2" borderId="15" xfId="0" applyNumberFormat="1" applyFont="1" applyFill="1" applyBorder="1" applyAlignment="1" applyProtection="1">
      <alignment horizontal="left"/>
      <protection hidden="1"/>
    </xf>
    <xf numFmtId="0" fontId="21" fillId="9" borderId="14" xfId="0" applyFont="1" applyFill="1" applyBorder="1" applyProtection="1">
      <protection hidden="1"/>
    </xf>
    <xf numFmtId="0" fontId="22" fillId="0" borderId="0" xfId="0" applyFont="1" applyProtection="1">
      <protection hidden="1"/>
    </xf>
    <xf numFmtId="0" fontId="22" fillId="2" borderId="0" xfId="0" applyFont="1" applyFill="1" applyProtection="1">
      <protection hidden="1"/>
    </xf>
    <xf numFmtId="0" fontId="15" fillId="2" borderId="0" xfId="0" applyFont="1" applyFill="1" applyProtection="1">
      <protection hidden="1"/>
    </xf>
    <xf numFmtId="0" fontId="15" fillId="0" borderId="0" xfId="0" applyFont="1" applyProtection="1">
      <protection hidden="1"/>
    </xf>
    <xf numFmtId="0" fontId="15" fillId="0" borderId="0" xfId="0" applyFont="1"/>
    <xf numFmtId="0" fontId="15" fillId="0" borderId="0" xfId="0" applyFont="1" applyAlignment="1" applyProtection="1">
      <alignment horizontal="left"/>
      <protection hidden="1"/>
    </xf>
    <xf numFmtId="0" fontId="15" fillId="0" borderId="1" xfId="0" applyFont="1" applyBorder="1" applyAlignment="1" applyProtection="1">
      <alignment horizontal="left"/>
      <protection hidden="1"/>
    </xf>
    <xf numFmtId="0" fontId="15" fillId="0" borderId="2" xfId="0" applyFont="1" applyBorder="1" applyAlignment="1" applyProtection="1">
      <alignment horizontal="left"/>
      <protection hidden="1"/>
    </xf>
    <xf numFmtId="44" fontId="15" fillId="2" borderId="0" xfId="1" applyFont="1" applyFill="1" applyBorder="1" applyProtection="1">
      <protection hidden="1"/>
    </xf>
    <xf numFmtId="0" fontId="15" fillId="3" borderId="2" xfId="0" applyFont="1" applyFill="1" applyBorder="1" applyAlignment="1" applyProtection="1">
      <alignment horizontal="left"/>
      <protection hidden="1"/>
    </xf>
    <xf numFmtId="0" fontId="15" fillId="3" borderId="1" xfId="0" applyFont="1" applyFill="1" applyBorder="1" applyAlignment="1" applyProtection="1">
      <alignment horizontal="left"/>
      <protection hidden="1"/>
    </xf>
    <xf numFmtId="44" fontId="15" fillId="2" borderId="0" xfId="0" applyNumberFormat="1" applyFont="1" applyFill="1" applyProtection="1">
      <protection hidden="1"/>
    </xf>
    <xf numFmtId="0" fontId="15" fillId="2" borderId="0" xfId="0" applyFont="1" applyFill="1" applyAlignment="1" applyProtection="1">
      <alignment horizontal="center"/>
      <protection hidden="1"/>
    </xf>
    <xf numFmtId="1" fontId="15" fillId="2" borderId="0" xfId="0" applyNumberFormat="1" applyFont="1" applyFill="1" applyProtection="1">
      <protection hidden="1"/>
    </xf>
    <xf numFmtId="0" fontId="5" fillId="6" borderId="0" xfId="0" applyFont="1" applyFill="1" applyProtection="1">
      <protection hidden="1"/>
    </xf>
    <xf numFmtId="0" fontId="5" fillId="2" borderId="0" xfId="0" applyFont="1" applyFill="1" applyAlignment="1" applyProtection="1">
      <alignment horizontal="right"/>
      <protection hidden="1"/>
    </xf>
    <xf numFmtId="44" fontId="8" fillId="2" borderId="1" xfId="1" applyFont="1" applyFill="1" applyBorder="1" applyAlignment="1" applyProtection="1">
      <alignment horizontal="right"/>
      <protection hidden="1"/>
    </xf>
    <xf numFmtId="166" fontId="0" fillId="0" borderId="1" xfId="0" applyNumberFormat="1" applyBorder="1"/>
    <xf numFmtId="0" fontId="0" fillId="7" borderId="0" xfId="0" applyFill="1"/>
    <xf numFmtId="166" fontId="0" fillId="0" borderId="0" xfId="0" applyNumberFormat="1"/>
    <xf numFmtId="44" fontId="5" fillId="7" borderId="0" xfId="1" applyFont="1" applyFill="1" applyBorder="1" applyProtection="1">
      <protection hidden="1"/>
    </xf>
    <xf numFmtId="166" fontId="0" fillId="7" borderId="1" xfId="0" applyNumberFormat="1" applyFill="1" applyBorder="1"/>
    <xf numFmtId="0" fontId="5" fillId="0" borderId="0" xfId="0" applyFont="1" applyProtection="1">
      <protection locked="0"/>
    </xf>
    <xf numFmtId="49" fontId="8" fillId="2" borderId="1" xfId="0" applyNumberFormat="1" applyFont="1" applyFill="1" applyBorder="1" applyAlignment="1" applyProtection="1">
      <alignment horizontal="left"/>
      <protection locked="0"/>
    </xf>
    <xf numFmtId="49" fontId="8" fillId="2" borderId="15" xfId="0" applyNumberFormat="1" applyFont="1" applyFill="1" applyBorder="1" applyAlignment="1" applyProtection="1">
      <alignment horizontal="left"/>
      <protection locked="0"/>
    </xf>
    <xf numFmtId="0" fontId="11" fillId="8" borderId="14" xfId="0" applyFont="1" applyFill="1" applyBorder="1" applyAlignment="1" applyProtection="1">
      <alignment horizontal="left" vertical="center" wrapText="1"/>
      <protection hidden="1"/>
    </xf>
    <xf numFmtId="0" fontId="11" fillId="8" borderId="1" xfId="0" applyFont="1" applyFill="1" applyBorder="1" applyAlignment="1" applyProtection="1">
      <alignment horizontal="left" vertical="center" wrapText="1"/>
      <protection hidden="1"/>
    </xf>
    <xf numFmtId="0" fontId="11" fillId="8" borderId="15" xfId="0" applyFont="1" applyFill="1" applyBorder="1" applyAlignment="1" applyProtection="1">
      <alignment horizontal="left" vertical="center" wrapText="1"/>
      <protection hidden="1"/>
    </xf>
    <xf numFmtId="0" fontId="8" fillId="9" borderId="1"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11" fillId="8" borderId="20" xfId="0" applyFont="1" applyFill="1" applyBorder="1" applyAlignment="1" applyProtection="1">
      <alignment horizontal="left" vertical="center" wrapText="1"/>
      <protection hidden="1"/>
    </xf>
    <xf numFmtId="0" fontId="11" fillId="8" borderId="6" xfId="0" applyFont="1" applyFill="1" applyBorder="1" applyAlignment="1" applyProtection="1">
      <alignment horizontal="left" vertical="center" wrapText="1"/>
      <protection hidden="1"/>
    </xf>
    <xf numFmtId="0" fontId="11" fillId="8" borderId="21" xfId="0" applyFont="1" applyFill="1" applyBorder="1" applyAlignment="1" applyProtection="1">
      <alignment horizontal="left" vertical="center" wrapText="1"/>
      <protection hidden="1"/>
    </xf>
    <xf numFmtId="0" fontId="8" fillId="9" borderId="14" xfId="0" applyFont="1" applyFill="1" applyBorder="1" applyAlignment="1" applyProtection="1">
      <alignment horizontal="center" vertical="center" wrapText="1"/>
      <protection hidden="1"/>
    </xf>
    <xf numFmtId="49" fontId="8" fillId="2" borderId="1" xfId="0" applyNumberFormat="1" applyFont="1" applyFill="1" applyBorder="1" applyAlignment="1" applyProtection="1">
      <alignment horizontal="left"/>
      <protection hidden="1"/>
    </xf>
    <xf numFmtId="49" fontId="8" fillId="2" borderId="15" xfId="0" applyNumberFormat="1" applyFont="1" applyFill="1" applyBorder="1" applyAlignment="1" applyProtection="1">
      <alignment horizontal="left"/>
      <protection hidden="1"/>
    </xf>
    <xf numFmtId="1" fontId="8" fillId="2" borderId="2" xfId="0" applyNumberFormat="1" applyFont="1" applyFill="1" applyBorder="1" applyAlignment="1" applyProtection="1">
      <alignment horizontal="center"/>
      <protection hidden="1"/>
    </xf>
    <xf numFmtId="1" fontId="8" fillId="2" borderId="3" xfId="0" applyNumberFormat="1" applyFont="1" applyFill="1" applyBorder="1" applyAlignment="1" applyProtection="1">
      <alignment horizontal="center"/>
      <protection hidden="1"/>
    </xf>
    <xf numFmtId="1" fontId="8" fillId="2" borderId="4" xfId="0" applyNumberFormat="1" applyFont="1" applyFill="1" applyBorder="1" applyAlignment="1" applyProtection="1">
      <alignment horizontal="center"/>
      <protection hidden="1"/>
    </xf>
    <xf numFmtId="0" fontId="8" fillId="2" borderId="1" xfId="0" applyFont="1" applyFill="1" applyBorder="1" applyAlignment="1" applyProtection="1">
      <alignment horizontal="left"/>
      <protection hidden="1"/>
    </xf>
    <xf numFmtId="0" fontId="8" fillId="2" borderId="15" xfId="0" applyFont="1" applyFill="1" applyBorder="1" applyAlignment="1" applyProtection="1">
      <alignment horizontal="left"/>
      <protection hidden="1"/>
    </xf>
    <xf numFmtId="0" fontId="11" fillId="8" borderId="1" xfId="0" applyFont="1" applyFill="1" applyBorder="1" applyAlignment="1" applyProtection="1">
      <alignment horizontal="left" vertical="center"/>
      <protection hidden="1"/>
    </xf>
    <xf numFmtId="0" fontId="11" fillId="8" borderId="15" xfId="0" applyFont="1" applyFill="1" applyBorder="1" applyAlignment="1" applyProtection="1">
      <alignment horizontal="left" vertical="center"/>
      <protection hidden="1"/>
    </xf>
    <xf numFmtId="0" fontId="4" fillId="0" borderId="9" xfId="0" applyFont="1" applyBorder="1" applyAlignment="1" applyProtection="1">
      <alignment vertical="top" wrapText="1"/>
      <protection hidden="1"/>
    </xf>
    <xf numFmtId="0" fontId="0" fillId="0" borderId="9" xfId="0" applyBorder="1" applyAlignment="1" applyProtection="1">
      <alignment vertical="top"/>
      <protection hidden="1"/>
    </xf>
    <xf numFmtId="0" fontId="0" fillId="0" borderId="11" xfId="0" applyBorder="1" applyAlignment="1" applyProtection="1">
      <alignment vertical="top"/>
      <protection hidden="1"/>
    </xf>
    <xf numFmtId="0" fontId="11" fillId="8" borderId="2" xfId="0" applyFont="1" applyFill="1" applyBorder="1" applyAlignment="1" applyProtection="1">
      <alignment vertical="center" wrapText="1"/>
      <protection hidden="1"/>
    </xf>
    <xf numFmtId="0" fontId="13" fillId="8" borderId="3" xfId="0" applyFont="1" applyFill="1" applyBorder="1" applyAlignment="1" applyProtection="1">
      <alignment vertical="center"/>
      <protection hidden="1"/>
    </xf>
    <xf numFmtId="0" fontId="13" fillId="8" borderId="13" xfId="0" applyFont="1" applyFill="1" applyBorder="1" applyAlignment="1" applyProtection="1">
      <alignment vertical="center"/>
      <protection hidden="1"/>
    </xf>
    <xf numFmtId="0" fontId="11" fillId="8" borderId="12" xfId="0" applyFont="1" applyFill="1" applyBorder="1" applyAlignment="1" applyProtection="1">
      <alignment vertical="center" wrapText="1"/>
      <protection hidden="1"/>
    </xf>
    <xf numFmtId="0" fontId="13" fillId="8" borderId="4" xfId="0" applyFont="1" applyFill="1" applyBorder="1" applyAlignment="1" applyProtection="1">
      <alignment vertical="center"/>
      <protection hidden="1"/>
    </xf>
    <xf numFmtId="0" fontId="8" fillId="9" borderId="5" xfId="0" applyFont="1" applyFill="1" applyBorder="1" applyAlignment="1" applyProtection="1">
      <alignment horizontal="center" vertical="center" wrapText="1"/>
      <protection hidden="1"/>
    </xf>
    <xf numFmtId="0" fontId="8" fillId="9" borderId="19" xfId="0" applyFont="1" applyFill="1" applyBorder="1" applyAlignment="1" applyProtection="1">
      <alignment horizontal="center" vertical="center" wrapText="1"/>
      <protection hidden="1"/>
    </xf>
    <xf numFmtId="0" fontId="15" fillId="0" borderId="1" xfId="0" applyFont="1" applyBorder="1" applyAlignment="1" applyProtection="1">
      <alignment horizontal="left"/>
      <protection hidden="1"/>
    </xf>
    <xf numFmtId="0" fontId="15" fillId="0" borderId="15" xfId="0" applyFont="1" applyBorder="1" applyAlignment="1" applyProtection="1">
      <alignment horizontal="left"/>
      <protection hidden="1"/>
    </xf>
    <xf numFmtId="0" fontId="15" fillId="0" borderId="1" xfId="0" applyFont="1" applyBorder="1" applyAlignment="1" applyProtection="1">
      <alignment horizontal="left"/>
      <protection locked="0"/>
    </xf>
    <xf numFmtId="0" fontId="15" fillId="9" borderId="1" xfId="0" applyFont="1" applyFill="1" applyBorder="1" applyAlignment="1" applyProtection="1">
      <alignment horizontal="left"/>
      <protection locked="0"/>
    </xf>
    <xf numFmtId="0" fontId="15" fillId="0" borderId="0" xfId="0" applyFont="1" applyAlignment="1" applyProtection="1">
      <alignment horizontal="left"/>
      <protection hidden="1"/>
    </xf>
    <xf numFmtId="0" fontId="15" fillId="0" borderId="16" xfId="0" applyFont="1" applyBorder="1" applyAlignment="1" applyProtection="1">
      <alignment horizontal="left"/>
      <protection hidden="1"/>
    </xf>
    <xf numFmtId="0" fontId="21" fillId="9" borderId="2" xfId="0" applyFont="1" applyFill="1" applyBorder="1" applyAlignment="1" applyProtection="1">
      <alignment horizontal="left"/>
      <protection hidden="1"/>
    </xf>
    <xf numFmtId="0" fontId="21" fillId="9" borderId="4" xfId="0" applyFont="1" applyFill="1" applyBorder="1" applyAlignment="1" applyProtection="1">
      <alignment horizontal="left"/>
      <protection hidden="1"/>
    </xf>
    <xf numFmtId="14" fontId="15" fillId="0" borderId="1" xfId="0" applyNumberFormat="1" applyFont="1" applyBorder="1" applyAlignment="1" applyProtection="1">
      <alignment horizontal="left"/>
      <protection locked="0"/>
    </xf>
    <xf numFmtId="0" fontId="3" fillId="0" borderId="1" xfId="2" applyBorder="1" applyAlignment="1" applyProtection="1">
      <alignment horizontal="left"/>
      <protection locked="0"/>
    </xf>
    <xf numFmtId="0" fontId="22" fillId="0" borderId="1" xfId="2" applyFont="1" applyBorder="1" applyAlignment="1" applyProtection="1">
      <alignment horizontal="left"/>
      <protection locked="0"/>
    </xf>
    <xf numFmtId="44" fontId="15" fillId="9" borderId="2" xfId="0" applyNumberFormat="1" applyFont="1" applyFill="1" applyBorder="1" applyAlignment="1" applyProtection="1">
      <alignment horizontal="left"/>
      <protection locked="0"/>
    </xf>
    <xf numFmtId="0" fontId="15" fillId="9" borderId="4" xfId="0" applyFont="1" applyFill="1" applyBorder="1" applyAlignment="1" applyProtection="1">
      <alignment horizontal="left"/>
      <protection locked="0"/>
    </xf>
    <xf numFmtId="0" fontId="17" fillId="0" borderId="9" xfId="0" applyFont="1" applyBorder="1" applyAlignment="1" applyProtection="1">
      <alignment horizontal="left" vertical="top" wrapText="1"/>
      <protection hidden="1"/>
    </xf>
    <xf numFmtId="2" fontId="8" fillId="2" borderId="1" xfId="0" applyNumberFormat="1" applyFont="1" applyFill="1" applyBorder="1" applyAlignment="1" applyProtection="1">
      <alignment horizontal="left"/>
      <protection locked="0"/>
    </xf>
    <xf numFmtId="2" fontId="8" fillId="2" borderId="15" xfId="0" applyNumberFormat="1" applyFont="1" applyFill="1" applyBorder="1" applyAlignment="1" applyProtection="1">
      <alignment horizontal="left"/>
      <protection locked="0"/>
    </xf>
    <xf numFmtId="0" fontId="21" fillId="9" borderId="1" xfId="0" applyFont="1" applyFill="1" applyBorder="1" applyAlignment="1" applyProtection="1">
      <alignment horizontal="left"/>
      <protection hidden="1"/>
    </xf>
    <xf numFmtId="0" fontId="21" fillId="9" borderId="15" xfId="0" applyFont="1" applyFill="1" applyBorder="1" applyAlignment="1" applyProtection="1">
      <alignment horizontal="left"/>
      <protection hidden="1"/>
    </xf>
    <xf numFmtId="0" fontId="5" fillId="0" borderId="7" xfId="0" applyFont="1" applyBorder="1" applyAlignment="1" applyProtection="1">
      <alignment horizontal="center"/>
      <protection hidden="1"/>
    </xf>
    <xf numFmtId="0" fontId="17" fillId="0" borderId="1" xfId="0" applyFont="1" applyBorder="1" applyAlignment="1" applyProtection="1">
      <alignment horizontal="left"/>
      <protection hidden="1"/>
    </xf>
    <xf numFmtId="0" fontId="8" fillId="0" borderId="1" xfId="0" applyFont="1" applyBorder="1" applyAlignment="1" applyProtection="1">
      <alignment horizontal="left"/>
      <protection hidden="1"/>
    </xf>
    <xf numFmtId="14" fontId="8" fillId="0" borderId="1" xfId="0" applyNumberFormat="1" applyFont="1" applyBorder="1" applyAlignment="1" applyProtection="1">
      <alignment horizontal="left"/>
      <protection hidden="1"/>
    </xf>
  </cellXfs>
  <cellStyles count="27">
    <cellStyle name="Currency" xfId="1" builtinId="4"/>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2" builtinId="9" hidden="1"/>
    <cellStyle name="Followed Hyperlink" xfId="18" builtinId="9" hidden="1"/>
    <cellStyle name="Followed Hyperlink" xfId="14" builtinId="9" hidden="1"/>
    <cellStyle name="Followed Hyperlink" xfId="8" builtinId="9" hidden="1"/>
    <cellStyle name="Followed Hyperlink" xfId="9" builtinId="9" hidden="1"/>
    <cellStyle name="Followed Hyperlink" xfId="11" builtinId="9" hidden="1"/>
    <cellStyle name="Followed Hyperlink" xfId="12" builtinId="9" hidden="1"/>
    <cellStyle name="Followed Hyperlink" xfId="13" builtinId="9" hidden="1"/>
    <cellStyle name="Followed Hyperlink" xfId="10" builtinId="9" hidden="1"/>
    <cellStyle name="Followed Hyperlink" xfId="6" builtinId="9" hidden="1"/>
    <cellStyle name="Followed Hyperlink" xfId="7" builtinId="9" hidden="1"/>
    <cellStyle name="Followed Hyperlink" xfId="5" builtinId="9" hidden="1"/>
    <cellStyle name="Followed Hyperlink" xfId="4" builtinId="9" hidden="1"/>
    <cellStyle name="Hyperlink" xfId="2" builtinId="8"/>
    <cellStyle name="Normal" xfId="0" builtinId="0"/>
    <cellStyle name="Percent" xfId="3" builtinId="5"/>
  </cellStyles>
  <dxfs count="15">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ont>
        <color theme="0"/>
      </font>
    </dxf>
    <dxf>
      <font>
        <color theme="0"/>
      </font>
    </dxf>
    <dxf>
      <font>
        <color theme="0"/>
      </font>
    </dxf>
    <dxf>
      <font>
        <color theme="0"/>
      </font>
    </dxf>
    <dxf>
      <fill>
        <patternFill>
          <bgColor rgb="FFFF0000"/>
        </patternFill>
      </fill>
    </dxf>
  </dxfs>
  <tableStyles count="2" defaultTableStyle="TableStyleMedium9" defaultPivotStyle="PivotStyleLight16">
    <tableStyle name="PivotTable Style 1" table="0" count="0" xr9:uid="{00000000-0011-0000-FFFF-FFFF00000000}"/>
    <tableStyle name="PivotTable Style 2" table="0" count="0" xr9:uid="{00000000-0011-0000-FFFF-FFFF01000000}"/>
  </tableStyles>
  <colors>
    <mruColors>
      <color rgb="FFCCEC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170815</xdr:colOff>
      <xdr:row>0</xdr:row>
      <xdr:rowOff>18732</xdr:rowOff>
    </xdr:from>
    <xdr:to>
      <xdr:col>0</xdr:col>
      <xdr:colOff>4511992</xdr:colOff>
      <xdr:row>0</xdr:row>
      <xdr:rowOff>1373640</xdr:rowOff>
    </xdr:to>
    <xdr:pic>
      <xdr:nvPicPr>
        <xdr:cNvPr id="3" name="Picture 2">
          <a:extLst>
            <a:ext uri="{FF2B5EF4-FFF2-40B4-BE49-F238E27FC236}">
              <a16:creationId xmlns:a16="http://schemas.microsoft.com/office/drawing/2014/main" id="{0267A374-78AE-47A2-A7E0-52388282FF61}"/>
            </a:ext>
          </a:extLst>
        </xdr:cNvPr>
        <xdr:cNvPicPr>
          <a:picLocks noChangeAspect="1"/>
        </xdr:cNvPicPr>
      </xdr:nvPicPr>
      <xdr:blipFill>
        <a:blip xmlns:r="http://schemas.openxmlformats.org/officeDocument/2006/relationships" r:embed="rId1"/>
        <a:stretch>
          <a:fillRect/>
        </a:stretch>
      </xdr:blipFill>
      <xdr:spPr>
        <a:xfrm>
          <a:off x="170815" y="18732"/>
          <a:ext cx="4329747" cy="1354908"/>
        </a:xfrm>
        <a:prstGeom prst="rect">
          <a:avLst/>
        </a:prstGeom>
      </xdr:spPr>
    </xdr:pic>
    <xdr:clientData/>
  </xdr:twoCellAnchor>
  <xdr:oneCellAnchor>
    <xdr:from>
      <xdr:col>4</xdr:col>
      <xdr:colOff>1031875</xdr:colOff>
      <xdr:row>13</xdr:row>
      <xdr:rowOff>240030</xdr:rowOff>
    </xdr:from>
    <xdr:ext cx="184731" cy="264560"/>
    <xdr:sp macro="" textlink="">
      <xdr:nvSpPr>
        <xdr:cNvPr id="2" name="TextBox 1">
          <a:extLst>
            <a:ext uri="{FF2B5EF4-FFF2-40B4-BE49-F238E27FC236}">
              <a16:creationId xmlns:a16="http://schemas.microsoft.com/office/drawing/2014/main" id="{C678CF92-CA05-968D-ED65-1EFE4BE898AC}"/>
            </a:ext>
          </a:extLst>
        </xdr:cNvPr>
        <xdr:cNvSpPr txBox="1"/>
      </xdr:nvSpPr>
      <xdr:spPr>
        <a:xfrm>
          <a:off x="8763000" y="6796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xdr:col>
      <xdr:colOff>1031875</xdr:colOff>
      <xdr:row>14</xdr:row>
      <xdr:rowOff>240030</xdr:rowOff>
    </xdr:from>
    <xdr:ext cx="184731" cy="264560"/>
    <xdr:sp macro="" textlink="">
      <xdr:nvSpPr>
        <xdr:cNvPr id="4" name="TextBox 3">
          <a:extLst>
            <a:ext uri="{FF2B5EF4-FFF2-40B4-BE49-F238E27FC236}">
              <a16:creationId xmlns:a16="http://schemas.microsoft.com/office/drawing/2014/main" id="{A3EF9B8A-3BE4-40F3-9C8F-6C31FEF168F4}"/>
            </a:ext>
          </a:extLst>
        </xdr:cNvPr>
        <xdr:cNvSpPr txBox="1"/>
      </xdr:nvSpPr>
      <xdr:spPr>
        <a:xfrm>
          <a:off x="8763000" y="6800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xdr:col>
      <xdr:colOff>1031875</xdr:colOff>
      <xdr:row>15</xdr:row>
      <xdr:rowOff>240030</xdr:rowOff>
    </xdr:from>
    <xdr:ext cx="184731" cy="264560"/>
    <xdr:sp macro="" textlink="">
      <xdr:nvSpPr>
        <xdr:cNvPr id="5" name="TextBox 4">
          <a:extLst>
            <a:ext uri="{FF2B5EF4-FFF2-40B4-BE49-F238E27FC236}">
              <a16:creationId xmlns:a16="http://schemas.microsoft.com/office/drawing/2014/main" id="{6B3F5885-8EEE-4201-9EF2-88F415386702}"/>
            </a:ext>
          </a:extLst>
        </xdr:cNvPr>
        <xdr:cNvSpPr txBox="1"/>
      </xdr:nvSpPr>
      <xdr:spPr>
        <a:xfrm>
          <a:off x="8763000" y="6800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xdr:col>
      <xdr:colOff>1031875</xdr:colOff>
      <xdr:row>16</xdr:row>
      <xdr:rowOff>240030</xdr:rowOff>
    </xdr:from>
    <xdr:ext cx="184731" cy="264560"/>
    <xdr:sp macro="" textlink="">
      <xdr:nvSpPr>
        <xdr:cNvPr id="6" name="TextBox 5">
          <a:extLst>
            <a:ext uri="{FF2B5EF4-FFF2-40B4-BE49-F238E27FC236}">
              <a16:creationId xmlns:a16="http://schemas.microsoft.com/office/drawing/2014/main" id="{8F46C694-604B-4242-9875-3E8616271EE9}"/>
            </a:ext>
          </a:extLst>
        </xdr:cNvPr>
        <xdr:cNvSpPr txBox="1"/>
      </xdr:nvSpPr>
      <xdr:spPr>
        <a:xfrm>
          <a:off x="8763000" y="6800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xdr:col>
      <xdr:colOff>1031875</xdr:colOff>
      <xdr:row>17</xdr:row>
      <xdr:rowOff>240030</xdr:rowOff>
    </xdr:from>
    <xdr:ext cx="184731" cy="264560"/>
    <xdr:sp macro="" textlink="">
      <xdr:nvSpPr>
        <xdr:cNvPr id="7" name="TextBox 6">
          <a:extLst>
            <a:ext uri="{FF2B5EF4-FFF2-40B4-BE49-F238E27FC236}">
              <a16:creationId xmlns:a16="http://schemas.microsoft.com/office/drawing/2014/main" id="{C5094B49-D67E-48E3-9A57-EE90FC312996}"/>
            </a:ext>
          </a:extLst>
        </xdr:cNvPr>
        <xdr:cNvSpPr txBox="1"/>
      </xdr:nvSpPr>
      <xdr:spPr>
        <a:xfrm>
          <a:off x="8763000" y="6800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xdr:col>
      <xdr:colOff>1031875</xdr:colOff>
      <xdr:row>14</xdr:row>
      <xdr:rowOff>240030</xdr:rowOff>
    </xdr:from>
    <xdr:ext cx="184731" cy="264560"/>
    <xdr:sp macro="" textlink="">
      <xdr:nvSpPr>
        <xdr:cNvPr id="8" name="TextBox 7">
          <a:extLst>
            <a:ext uri="{FF2B5EF4-FFF2-40B4-BE49-F238E27FC236}">
              <a16:creationId xmlns:a16="http://schemas.microsoft.com/office/drawing/2014/main" id="{795A1B7C-7E8D-4D3A-99B8-BFD9BC7E01CE}"/>
            </a:ext>
          </a:extLst>
        </xdr:cNvPr>
        <xdr:cNvSpPr txBox="1"/>
      </xdr:nvSpPr>
      <xdr:spPr>
        <a:xfrm>
          <a:off x="8763000" y="6800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xdr:col>
      <xdr:colOff>1031875</xdr:colOff>
      <xdr:row>15</xdr:row>
      <xdr:rowOff>240030</xdr:rowOff>
    </xdr:from>
    <xdr:ext cx="184731" cy="264560"/>
    <xdr:sp macro="" textlink="">
      <xdr:nvSpPr>
        <xdr:cNvPr id="9" name="TextBox 8">
          <a:extLst>
            <a:ext uri="{FF2B5EF4-FFF2-40B4-BE49-F238E27FC236}">
              <a16:creationId xmlns:a16="http://schemas.microsoft.com/office/drawing/2014/main" id="{DF2D7F92-FAC0-43D3-BA22-3EB5F715064E}"/>
            </a:ext>
          </a:extLst>
        </xdr:cNvPr>
        <xdr:cNvSpPr txBox="1"/>
      </xdr:nvSpPr>
      <xdr:spPr>
        <a:xfrm>
          <a:off x="8763000" y="6800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xdr:col>
      <xdr:colOff>1031875</xdr:colOff>
      <xdr:row>16</xdr:row>
      <xdr:rowOff>240030</xdr:rowOff>
    </xdr:from>
    <xdr:ext cx="184731" cy="264560"/>
    <xdr:sp macro="" textlink="">
      <xdr:nvSpPr>
        <xdr:cNvPr id="10" name="TextBox 9">
          <a:extLst>
            <a:ext uri="{FF2B5EF4-FFF2-40B4-BE49-F238E27FC236}">
              <a16:creationId xmlns:a16="http://schemas.microsoft.com/office/drawing/2014/main" id="{E564F56A-7685-49B9-9C6E-35361B59A3F3}"/>
            </a:ext>
          </a:extLst>
        </xdr:cNvPr>
        <xdr:cNvSpPr txBox="1"/>
      </xdr:nvSpPr>
      <xdr:spPr>
        <a:xfrm>
          <a:off x="8763000" y="6800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xdr:col>
      <xdr:colOff>1031875</xdr:colOff>
      <xdr:row>17</xdr:row>
      <xdr:rowOff>240030</xdr:rowOff>
    </xdr:from>
    <xdr:ext cx="184731" cy="264560"/>
    <xdr:sp macro="" textlink="">
      <xdr:nvSpPr>
        <xdr:cNvPr id="11" name="TextBox 10">
          <a:extLst>
            <a:ext uri="{FF2B5EF4-FFF2-40B4-BE49-F238E27FC236}">
              <a16:creationId xmlns:a16="http://schemas.microsoft.com/office/drawing/2014/main" id="{FA1D00C8-A597-467D-82BC-193A20020F61}"/>
            </a:ext>
          </a:extLst>
        </xdr:cNvPr>
        <xdr:cNvSpPr txBox="1"/>
      </xdr:nvSpPr>
      <xdr:spPr>
        <a:xfrm>
          <a:off x="8763000" y="68002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B@Bbblind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L1000"/>
  <sheetViews>
    <sheetView tabSelected="1" zoomScale="80" zoomScaleNormal="80" zoomScalePageLayoutView="50" workbookViewId="0">
      <selection activeCell="B5" sqref="B5:D5"/>
    </sheetView>
  </sheetViews>
  <sheetFormatPr defaultColWidth="8.7109375" defaultRowHeight="14.25" x14ac:dyDescent="0.2"/>
  <cols>
    <col min="1" max="1" width="74" style="3" customWidth="1"/>
    <col min="2" max="2" width="10.7109375" style="3" customWidth="1"/>
    <col min="3" max="3" width="13.7109375" style="3" customWidth="1"/>
    <col min="4" max="4" width="14.42578125" style="3" customWidth="1"/>
    <col min="5" max="5" width="22.42578125" style="3" customWidth="1"/>
    <col min="6" max="6" width="52.28515625" style="3" customWidth="1"/>
    <col min="7" max="7" width="17.7109375" style="3" customWidth="1"/>
    <col min="8" max="8" width="16.7109375" style="3" customWidth="1"/>
    <col min="9" max="9" width="42.42578125" style="3" customWidth="1"/>
    <col min="10" max="10" width="34.7109375" style="3" customWidth="1"/>
    <col min="11" max="11" width="27.42578125" style="3" customWidth="1"/>
    <col min="12" max="12" width="24" style="3" customWidth="1"/>
    <col min="13" max="13" width="16.42578125" style="3" customWidth="1"/>
    <col min="14" max="14" width="25.5703125" style="3" customWidth="1"/>
    <col min="15" max="51" width="25.5703125" style="1" hidden="1" customWidth="1"/>
    <col min="52" max="55" width="25.5703125" style="2" hidden="1" customWidth="1"/>
    <col min="56" max="56" width="22" style="2" hidden="1" customWidth="1"/>
    <col min="57" max="59" width="16.7109375" style="2" hidden="1" customWidth="1"/>
    <col min="60" max="62" width="16.7109375" style="3" hidden="1" customWidth="1"/>
    <col min="63" max="68" width="15.140625" style="3" hidden="1" customWidth="1"/>
    <col min="69" max="79" width="14" style="3" hidden="1" customWidth="1"/>
    <col min="80" max="81" width="10.28515625" style="3" hidden="1" customWidth="1"/>
    <col min="82" max="157" width="10.28515625" style="3" customWidth="1"/>
    <col min="158" max="16384" width="8.7109375" style="3"/>
  </cols>
  <sheetData>
    <row r="1" spans="1:142" ht="118.9" customHeight="1" x14ac:dyDescent="0.45">
      <c r="A1" s="91"/>
      <c r="B1" s="178" t="s">
        <v>645</v>
      </c>
      <c r="C1" s="178"/>
      <c r="D1" s="178"/>
      <c r="E1" s="178"/>
      <c r="F1" s="178"/>
      <c r="G1" s="92"/>
      <c r="H1" s="155" t="s">
        <v>644</v>
      </c>
      <c r="I1" s="156"/>
      <c r="J1" s="156"/>
      <c r="K1" s="156"/>
      <c r="L1" s="156"/>
      <c r="M1" s="156"/>
      <c r="N1" s="157"/>
      <c r="O1" s="65"/>
      <c r="V1" s="1" t="s">
        <v>0</v>
      </c>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row>
    <row r="2" spans="1:142" ht="70.900000000000006" customHeight="1" x14ac:dyDescent="0.2">
      <c r="A2" s="161" t="s">
        <v>1</v>
      </c>
      <c r="B2" s="159"/>
      <c r="C2" s="159"/>
      <c r="D2" s="159"/>
      <c r="E2" s="159"/>
      <c r="F2" s="162"/>
      <c r="G2" s="2"/>
      <c r="H2" s="158" t="s">
        <v>2</v>
      </c>
      <c r="I2" s="159"/>
      <c r="J2" s="159"/>
      <c r="K2" s="159"/>
      <c r="L2" s="159"/>
      <c r="M2" s="159"/>
      <c r="N2" s="160"/>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row>
    <row r="3" spans="1:142" s="116" customFormat="1" ht="19.899999999999999" customHeight="1" x14ac:dyDescent="0.25">
      <c r="A3" s="111" t="s">
        <v>3</v>
      </c>
      <c r="B3" s="173">
        <v>46093</v>
      </c>
      <c r="C3" s="173"/>
      <c r="D3" s="173"/>
      <c r="E3" s="171" t="s">
        <v>4</v>
      </c>
      <c r="F3" s="172"/>
      <c r="G3" s="112"/>
      <c r="H3" s="181" t="s">
        <v>5</v>
      </c>
      <c r="I3" s="171"/>
      <c r="J3" s="181" t="s">
        <v>6</v>
      </c>
      <c r="K3" s="181"/>
      <c r="L3" s="181" t="s">
        <v>7</v>
      </c>
      <c r="M3" s="181"/>
      <c r="N3" s="182"/>
      <c r="O3" s="113"/>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5"/>
      <c r="BA3" s="115"/>
      <c r="BB3" s="115"/>
      <c r="BC3" s="115"/>
      <c r="BD3" s="115"/>
      <c r="BE3" s="115"/>
      <c r="BF3" s="115"/>
      <c r="BG3" s="115"/>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row>
    <row r="4" spans="1:142" s="116" customFormat="1" ht="19.899999999999999" customHeight="1" x14ac:dyDescent="0.25">
      <c r="A4" s="111" t="s">
        <v>8</v>
      </c>
      <c r="B4" s="167" t="s">
        <v>646</v>
      </c>
      <c r="C4" s="167"/>
      <c r="D4" s="167"/>
      <c r="E4" s="167" t="s">
        <v>650</v>
      </c>
      <c r="F4" s="167"/>
      <c r="G4" s="117"/>
      <c r="H4" s="118" t="s">
        <v>604</v>
      </c>
      <c r="I4" s="119" t="s">
        <v>582</v>
      </c>
      <c r="J4" s="118" t="s">
        <v>9</v>
      </c>
      <c r="K4" s="118" t="s">
        <v>10</v>
      </c>
      <c r="L4" s="118" t="s">
        <v>11</v>
      </c>
      <c r="M4" s="165" t="s">
        <v>12</v>
      </c>
      <c r="N4" s="166"/>
      <c r="O4" s="114"/>
      <c r="P4" s="114"/>
      <c r="Q4" s="114"/>
      <c r="R4" s="114"/>
      <c r="S4" s="114"/>
      <c r="T4" s="114"/>
      <c r="U4" s="114"/>
      <c r="V4" s="114"/>
      <c r="W4" s="114" t="s">
        <v>13</v>
      </c>
      <c r="X4" s="120" t="s">
        <v>14</v>
      </c>
      <c r="Y4" s="114"/>
      <c r="Z4" s="114"/>
      <c r="AA4" s="114"/>
      <c r="AB4" s="114" t="s">
        <v>15</v>
      </c>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5"/>
      <c r="BA4" s="115"/>
      <c r="BB4" s="115"/>
      <c r="BC4" s="115"/>
      <c r="BD4" s="115"/>
      <c r="BE4" s="115"/>
      <c r="BF4" s="115"/>
      <c r="BG4" s="115"/>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row>
    <row r="5" spans="1:142" s="116" customFormat="1" ht="19.899999999999999" customHeight="1" x14ac:dyDescent="0.25">
      <c r="A5" s="111" t="s">
        <v>16</v>
      </c>
      <c r="B5" s="167">
        <v>7205</v>
      </c>
      <c r="C5" s="167"/>
      <c r="D5" s="167"/>
      <c r="E5" s="167" t="s">
        <v>651</v>
      </c>
      <c r="F5" s="167"/>
      <c r="G5" s="117"/>
      <c r="H5" s="118" t="s">
        <v>603</v>
      </c>
      <c r="I5" s="121" t="s">
        <v>583</v>
      </c>
      <c r="J5" s="118" t="s">
        <v>17</v>
      </c>
      <c r="K5" s="122" t="s">
        <v>18</v>
      </c>
      <c r="L5" s="118" t="s">
        <v>19</v>
      </c>
      <c r="M5" s="165" t="s">
        <v>20</v>
      </c>
      <c r="N5" s="166"/>
      <c r="O5" s="114"/>
      <c r="P5" s="114"/>
      <c r="Q5" s="114"/>
      <c r="R5" s="114"/>
      <c r="S5" s="114"/>
      <c r="T5" s="114"/>
      <c r="U5" s="114"/>
      <c r="V5" s="114"/>
      <c r="W5" s="114"/>
      <c r="X5" s="120" t="s">
        <v>21</v>
      </c>
      <c r="Y5" s="114"/>
      <c r="Z5" s="114">
        <v>0</v>
      </c>
      <c r="AA5" s="114"/>
      <c r="AB5" s="114" t="s">
        <v>22</v>
      </c>
      <c r="AC5" s="114">
        <v>0</v>
      </c>
      <c r="AD5" s="114" t="s">
        <v>23</v>
      </c>
      <c r="AE5" s="114"/>
      <c r="AF5" s="114" t="s">
        <v>24</v>
      </c>
      <c r="AG5" s="114" t="s">
        <v>637</v>
      </c>
      <c r="AH5" s="114">
        <v>20</v>
      </c>
      <c r="AI5" s="114" t="s">
        <v>22</v>
      </c>
      <c r="AJ5" s="114"/>
      <c r="AK5" s="114"/>
      <c r="AL5" s="114"/>
      <c r="AM5" s="114"/>
      <c r="AN5" s="114"/>
      <c r="AO5" s="114"/>
      <c r="AP5" s="114"/>
      <c r="AQ5" s="114"/>
      <c r="AR5" s="123" t="str">
        <f>+X6</f>
        <v>Legacy Door (Max 2440mm x 2130mm)</v>
      </c>
      <c r="AS5" s="123" t="str">
        <f>+X5</f>
        <v>Serene Window (Max 1830mm x 1980mm)</v>
      </c>
      <c r="AT5" s="114"/>
      <c r="AU5" s="114"/>
      <c r="AV5" s="114"/>
      <c r="AW5" s="114"/>
      <c r="AX5" s="114"/>
      <c r="AY5" s="114"/>
      <c r="AZ5" s="115"/>
      <c r="BA5" s="115"/>
      <c r="BB5" s="115"/>
      <c r="BC5" s="115"/>
      <c r="BD5" s="115"/>
      <c r="BE5" s="115"/>
      <c r="BF5" s="115"/>
      <c r="BG5" s="115"/>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row>
    <row r="6" spans="1:142" s="116" customFormat="1" ht="19.899999999999999" customHeight="1" x14ac:dyDescent="0.25">
      <c r="A6" s="111" t="s">
        <v>25</v>
      </c>
      <c r="B6" s="167" t="s">
        <v>647</v>
      </c>
      <c r="C6" s="167"/>
      <c r="D6" s="167"/>
      <c r="E6" s="167" t="s">
        <v>652</v>
      </c>
      <c r="F6" s="167"/>
      <c r="G6" s="117"/>
      <c r="H6" s="118" t="s">
        <v>26</v>
      </c>
      <c r="I6" s="119" t="s">
        <v>582</v>
      </c>
      <c r="J6" s="118" t="s">
        <v>27</v>
      </c>
      <c r="K6" s="118" t="s">
        <v>10</v>
      </c>
      <c r="L6" s="118" t="s">
        <v>28</v>
      </c>
      <c r="M6" s="165" t="s">
        <v>29</v>
      </c>
      <c r="N6" s="166"/>
      <c r="O6" s="114"/>
      <c r="P6" s="114"/>
      <c r="Q6" s="114"/>
      <c r="R6" s="114"/>
      <c r="S6" s="114"/>
      <c r="T6" s="114"/>
      <c r="U6" s="114"/>
      <c r="V6" s="114"/>
      <c r="W6" s="114"/>
      <c r="X6" s="120" t="s">
        <v>30</v>
      </c>
      <c r="Y6" s="114"/>
      <c r="Z6" s="114">
        <v>1</v>
      </c>
      <c r="AA6" s="114"/>
      <c r="AB6" s="114" t="s">
        <v>22</v>
      </c>
      <c r="AC6" s="114">
        <v>0</v>
      </c>
      <c r="AD6" s="114" t="s">
        <v>31</v>
      </c>
      <c r="AE6" s="114">
        <v>10</v>
      </c>
      <c r="AF6" s="114" t="s">
        <v>32</v>
      </c>
      <c r="AG6" s="114" t="s">
        <v>33</v>
      </c>
      <c r="AH6" s="114">
        <v>0</v>
      </c>
      <c r="AI6" s="114" t="s">
        <v>34</v>
      </c>
      <c r="AJ6" s="114"/>
      <c r="AK6" s="114"/>
      <c r="AL6" s="114"/>
      <c r="AM6" s="124" t="s">
        <v>35</v>
      </c>
      <c r="AN6" s="124" t="s">
        <v>36</v>
      </c>
      <c r="AO6" s="114"/>
      <c r="AP6" s="114"/>
      <c r="AQ6" s="114"/>
      <c r="AR6" s="123" t="str">
        <f>+X11</f>
        <v>L Flap (2438mm Length)</v>
      </c>
      <c r="AS6" s="123" t="str">
        <f>+X9</f>
        <v>25mm Box Profile (2500mm Length)</v>
      </c>
      <c r="AT6" s="114"/>
      <c r="AU6" s="114"/>
      <c r="AV6" s="114"/>
      <c r="AW6" s="114"/>
      <c r="AX6" s="114"/>
      <c r="AY6" s="114"/>
      <c r="AZ6" s="115"/>
      <c r="BA6" s="115"/>
      <c r="BB6" s="115"/>
      <c r="BC6" s="115"/>
      <c r="BD6" s="115"/>
      <c r="BE6" s="115"/>
      <c r="BF6" s="115"/>
      <c r="BG6" s="115"/>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row>
    <row r="7" spans="1:142" s="116" customFormat="1" ht="19.899999999999999" customHeight="1" x14ac:dyDescent="0.25">
      <c r="A7" s="111" t="s">
        <v>621</v>
      </c>
      <c r="B7" s="173">
        <v>7952407289</v>
      </c>
      <c r="C7" s="173"/>
      <c r="D7" s="173"/>
      <c r="E7" s="167" t="s">
        <v>649</v>
      </c>
      <c r="F7" s="167"/>
      <c r="G7" s="117"/>
      <c r="H7" s="117"/>
      <c r="I7" s="117"/>
      <c r="J7" s="118" t="s">
        <v>38</v>
      </c>
      <c r="K7" s="118" t="s">
        <v>10</v>
      </c>
      <c r="L7" s="118" t="s">
        <v>39</v>
      </c>
      <c r="M7" s="165" t="s">
        <v>40</v>
      </c>
      <c r="N7" s="166"/>
      <c r="O7" s="114"/>
      <c r="P7" s="114"/>
      <c r="Q7" s="114" t="str">
        <f>LEFT(E7,2)</f>
        <v>KT</v>
      </c>
      <c r="R7" s="114">
        <f>IF(COUNTIF($AM$7:$AM$249,Q7),VLOOKUP(Q7,$AM$7:$AO$249,3,FALSE),"NO")</f>
        <v>1</v>
      </c>
      <c r="S7" s="114"/>
      <c r="T7" s="114"/>
      <c r="U7" s="114"/>
      <c r="V7" s="114"/>
      <c r="W7" s="114">
        <v>0.5</v>
      </c>
      <c r="X7" s="120" t="s">
        <v>41</v>
      </c>
      <c r="Y7" s="114"/>
      <c r="Z7" s="114">
        <v>1</v>
      </c>
      <c r="AA7" s="114"/>
      <c r="AB7" s="114" t="s">
        <v>34</v>
      </c>
      <c r="AC7" s="114">
        <v>1</v>
      </c>
      <c r="AD7" s="114" t="s">
        <v>42</v>
      </c>
      <c r="AE7" s="114">
        <v>30</v>
      </c>
      <c r="AF7" s="114"/>
      <c r="AG7" s="114"/>
      <c r="AH7" s="114">
        <v>0</v>
      </c>
      <c r="AI7" s="114"/>
      <c r="AJ7" s="114"/>
      <c r="AK7" s="114"/>
      <c r="AL7" s="114"/>
      <c r="AM7" s="124" t="s">
        <v>43</v>
      </c>
      <c r="AN7" s="125" t="s">
        <v>44</v>
      </c>
      <c r="AO7" s="114">
        <v>5</v>
      </c>
      <c r="AP7" s="114"/>
      <c r="AQ7" s="114"/>
      <c r="AR7" s="123" t="str">
        <f>+X9</f>
        <v>25mm Box Profile (2500mm Length)</v>
      </c>
      <c r="AS7" s="123" t="str">
        <f>+X12</f>
        <v>Telescopic Hook</v>
      </c>
      <c r="AT7" s="114"/>
      <c r="AU7" s="114"/>
      <c r="AV7" s="114"/>
      <c r="AW7" s="114"/>
      <c r="AX7" s="114"/>
      <c r="AY7" s="114"/>
      <c r="AZ7" s="115"/>
      <c r="BA7" s="115"/>
      <c r="BB7" s="115"/>
      <c r="BC7" s="115"/>
      <c r="BD7" s="115"/>
      <c r="BE7" s="115"/>
      <c r="BF7" s="115"/>
      <c r="BG7" s="115"/>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row>
    <row r="8" spans="1:142" s="116" customFormat="1" ht="19.899999999999999" customHeight="1" x14ac:dyDescent="0.25">
      <c r="A8" s="111" t="s">
        <v>45</v>
      </c>
      <c r="B8" s="167" t="s">
        <v>92</v>
      </c>
      <c r="C8" s="167"/>
      <c r="D8" s="167"/>
      <c r="E8" s="168" t="str">
        <f>+R8</f>
        <v>Valid postcode Thank You</v>
      </c>
      <c r="F8" s="168"/>
      <c r="G8" s="115"/>
      <c r="H8" s="117"/>
      <c r="I8" s="117"/>
      <c r="J8" s="118" t="s">
        <v>46</v>
      </c>
      <c r="K8" s="118" t="s">
        <v>10</v>
      </c>
      <c r="L8" s="117"/>
      <c r="M8" s="169"/>
      <c r="N8" s="170"/>
      <c r="O8" s="114"/>
      <c r="P8" s="114"/>
      <c r="Q8" s="114"/>
      <c r="R8" s="114" t="str">
        <f>IF(R7="no","Please check postcode above","Valid postcode Thank You")</f>
        <v>Valid postcode Thank You</v>
      </c>
      <c r="S8" s="114"/>
      <c r="T8" s="114"/>
      <c r="U8" s="114"/>
      <c r="V8" s="114" t="s">
        <v>47</v>
      </c>
      <c r="W8" s="114">
        <v>18</v>
      </c>
      <c r="X8" s="120" t="s">
        <v>48</v>
      </c>
      <c r="Y8" s="114"/>
      <c r="Z8" s="114">
        <v>1</v>
      </c>
      <c r="AA8" s="114"/>
      <c r="AB8" s="114" t="s">
        <v>49</v>
      </c>
      <c r="AC8" s="114">
        <v>1</v>
      </c>
      <c r="AD8" s="114" t="s">
        <v>50</v>
      </c>
      <c r="AE8" s="114">
        <v>20</v>
      </c>
      <c r="AF8" s="114" t="s">
        <v>51</v>
      </c>
      <c r="AG8" s="114"/>
      <c r="AH8" s="114"/>
      <c r="AI8" s="114"/>
      <c r="AJ8" s="114"/>
      <c r="AK8" s="114"/>
      <c r="AL8" s="114"/>
      <c r="AM8" s="124" t="s">
        <v>52</v>
      </c>
      <c r="AN8" s="125" t="s">
        <v>53</v>
      </c>
      <c r="AO8" s="114">
        <v>1</v>
      </c>
      <c r="AP8" s="114"/>
      <c r="AQ8" s="114"/>
      <c r="AR8" s="123" t="str">
        <f>+X7</f>
        <v>Leave behind Silicone Spray</v>
      </c>
      <c r="AS8" s="114" t="s">
        <v>54</v>
      </c>
      <c r="AT8" s="114"/>
      <c r="AU8" s="114"/>
      <c r="AV8" s="114"/>
      <c r="AW8" s="114"/>
      <c r="AX8" s="114"/>
      <c r="AY8" s="114"/>
      <c r="AZ8" s="115"/>
      <c r="BA8" s="115"/>
      <c r="BB8" s="115"/>
      <c r="BC8" s="115"/>
      <c r="BD8" s="115"/>
      <c r="BE8" s="115"/>
      <c r="BF8" s="115"/>
      <c r="BG8" s="115"/>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row>
    <row r="9" spans="1:142" s="116" customFormat="1" ht="19.899999999999999" customHeight="1" x14ac:dyDescent="0.25">
      <c r="A9" s="111" t="s">
        <v>622</v>
      </c>
      <c r="B9" s="174" t="s">
        <v>648</v>
      </c>
      <c r="C9" s="175"/>
      <c r="D9" s="175"/>
      <c r="E9" s="176" t="s">
        <v>635</v>
      </c>
      <c r="F9" s="177"/>
      <c r="G9" s="117"/>
      <c r="H9" s="117"/>
      <c r="I9" s="117"/>
      <c r="J9" s="117"/>
      <c r="K9" s="117"/>
      <c r="L9" s="117"/>
      <c r="M9" s="169"/>
      <c r="N9" s="170"/>
      <c r="O9" s="114"/>
      <c r="P9" s="114"/>
      <c r="Q9" s="114"/>
      <c r="R9" s="114"/>
      <c r="S9" s="114"/>
      <c r="T9" s="114"/>
      <c r="U9" s="114"/>
      <c r="V9" s="114" t="s">
        <v>0</v>
      </c>
      <c r="W9" s="114">
        <v>2</v>
      </c>
      <c r="X9" s="120" t="s">
        <v>55</v>
      </c>
      <c r="Y9" s="114"/>
      <c r="Z9" s="114">
        <v>1</v>
      </c>
      <c r="AA9" s="114"/>
      <c r="AB9" s="114" t="s">
        <v>56</v>
      </c>
      <c r="AC9" s="114">
        <v>0</v>
      </c>
      <c r="AD9" s="114" t="s">
        <v>57</v>
      </c>
      <c r="AE9" s="114">
        <v>300</v>
      </c>
      <c r="AF9" s="114" t="s">
        <v>58</v>
      </c>
      <c r="AG9" s="114"/>
      <c r="AH9" s="114"/>
      <c r="AI9" s="114"/>
      <c r="AJ9" s="114"/>
      <c r="AK9" s="114"/>
      <c r="AL9" s="114"/>
      <c r="AM9" s="124" t="s">
        <v>59</v>
      </c>
      <c r="AN9" s="125" t="s">
        <v>60</v>
      </c>
      <c r="AO9" s="114">
        <v>1</v>
      </c>
      <c r="AP9" s="114"/>
      <c r="AQ9" s="114"/>
      <c r="AR9" s="114" t="s">
        <v>54</v>
      </c>
      <c r="AS9" s="114"/>
      <c r="AT9" s="114"/>
      <c r="AU9" s="114"/>
      <c r="AV9" s="114"/>
      <c r="AW9" s="114"/>
      <c r="AX9" s="114"/>
      <c r="AY9" s="114"/>
      <c r="AZ9" s="115"/>
      <c r="BA9" s="115"/>
      <c r="BB9" s="115"/>
      <c r="BC9" s="115"/>
      <c r="BD9" s="115"/>
      <c r="BE9" s="115"/>
      <c r="BF9" s="115"/>
      <c r="BG9" s="115"/>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row>
    <row r="10" spans="1:142" ht="22.15" customHeight="1" x14ac:dyDescent="0.2">
      <c r="A10" s="93"/>
      <c r="B10" s="35"/>
      <c r="C10" s="36"/>
      <c r="D10" s="36"/>
      <c r="E10" s="86"/>
      <c r="F10" s="86"/>
      <c r="G10" s="86"/>
      <c r="H10" s="86"/>
      <c r="I10" s="86"/>
      <c r="J10" s="86"/>
      <c r="K10" s="86"/>
      <c r="L10" s="86"/>
      <c r="M10" s="86"/>
      <c r="N10" s="94"/>
      <c r="V10" s="1">
        <v>25</v>
      </c>
      <c r="W10" s="1">
        <v>1</v>
      </c>
      <c r="X10" s="1" t="s">
        <v>54</v>
      </c>
      <c r="AF10" s="114" t="s">
        <v>636</v>
      </c>
      <c r="AM10" s="5"/>
      <c r="AN10" s="6"/>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row>
    <row r="11" spans="1:142" ht="70.900000000000006" customHeight="1" x14ac:dyDescent="0.2">
      <c r="A11" s="137" t="s">
        <v>61</v>
      </c>
      <c r="B11" s="138"/>
      <c r="C11" s="138"/>
      <c r="D11" s="138"/>
      <c r="E11" s="138"/>
      <c r="F11" s="138"/>
      <c r="G11" s="138"/>
      <c r="H11" s="138"/>
      <c r="I11" s="138"/>
      <c r="J11" s="138"/>
      <c r="K11" s="138"/>
      <c r="L11" s="138"/>
      <c r="M11" s="138"/>
      <c r="N11" s="139"/>
      <c r="W11" s="1">
        <v>1</v>
      </c>
      <c r="X11" s="4" t="s">
        <v>62</v>
      </c>
      <c r="AF11" s="1" t="s">
        <v>63</v>
      </c>
      <c r="AM11" s="5"/>
      <c r="AN11" s="6"/>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row>
    <row r="12" spans="1:142" ht="30" hidden="1" customHeight="1" thickBot="1" x14ac:dyDescent="0.25">
      <c r="A12" s="95"/>
      <c r="B12" s="37"/>
      <c r="C12" s="38"/>
      <c r="D12" s="38"/>
      <c r="E12" s="39"/>
      <c r="F12" s="39"/>
      <c r="G12" s="39"/>
      <c r="H12" s="39"/>
      <c r="I12" s="39"/>
      <c r="J12" s="39"/>
      <c r="K12" s="39"/>
      <c r="L12" s="39"/>
      <c r="M12" s="39"/>
      <c r="N12" s="96"/>
      <c r="W12" s="1">
        <v>0.5</v>
      </c>
      <c r="X12" s="4" t="s">
        <v>64</v>
      </c>
      <c r="AF12" s="1" t="s">
        <v>65</v>
      </c>
      <c r="AM12" s="5" t="s">
        <v>66</v>
      </c>
      <c r="AN12" s="6" t="s">
        <v>67</v>
      </c>
      <c r="AO12" s="1">
        <v>1</v>
      </c>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row>
    <row r="13" spans="1:142" ht="91.5" customHeight="1" x14ac:dyDescent="0.2">
      <c r="A13" s="97" t="s">
        <v>68</v>
      </c>
      <c r="B13" s="40" t="s">
        <v>69</v>
      </c>
      <c r="C13" s="88" t="s">
        <v>70</v>
      </c>
      <c r="D13" s="88" t="s">
        <v>71</v>
      </c>
      <c r="E13" s="88" t="s">
        <v>72</v>
      </c>
      <c r="F13" s="88" t="s">
        <v>606</v>
      </c>
      <c r="G13" s="88" t="s">
        <v>73</v>
      </c>
      <c r="H13" s="40" t="s">
        <v>642</v>
      </c>
      <c r="I13" s="40" t="s">
        <v>75</v>
      </c>
      <c r="J13" s="40" t="s">
        <v>76</v>
      </c>
      <c r="K13" s="88" t="s">
        <v>77</v>
      </c>
      <c r="L13" s="88" t="s">
        <v>78</v>
      </c>
      <c r="M13" s="163" t="s">
        <v>79</v>
      </c>
      <c r="N13" s="164"/>
      <c r="O13" s="7"/>
      <c r="P13" s="1" t="s">
        <v>80</v>
      </c>
      <c r="W13" s="4"/>
      <c r="X13" s="4" t="s">
        <v>81</v>
      </c>
      <c r="Z13" s="1" t="s">
        <v>589</v>
      </c>
      <c r="AA13" s="1" t="s">
        <v>592</v>
      </c>
      <c r="AB13" s="1" t="s">
        <v>597</v>
      </c>
      <c r="AK13" s="1" t="s">
        <v>599</v>
      </c>
      <c r="AM13" s="5" t="s">
        <v>82</v>
      </c>
      <c r="AN13" s="6" t="s">
        <v>83</v>
      </c>
      <c r="AO13" s="1">
        <v>1</v>
      </c>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row>
    <row r="14" spans="1:142" ht="21.75" customHeight="1" x14ac:dyDescent="0.2">
      <c r="A14" s="98"/>
      <c r="B14" s="10"/>
      <c r="C14" s="11"/>
      <c r="D14" s="11"/>
      <c r="E14" s="12"/>
      <c r="F14" s="12"/>
      <c r="G14" s="12"/>
      <c r="H14" s="42"/>
      <c r="I14" s="12"/>
      <c r="J14" s="12"/>
      <c r="K14" s="12"/>
      <c r="L14" s="34">
        <f t="shared" ref="L14:L18" si="0">+IF(A14=$X$6,R87,(IF(A14=$X$5,P87,(IF(A14=$X$11,Y87,(IF(A14=$X$9,X87,(IF(A14=$X$12,Z87,(IF(A14=$X$7,AL87,(IF(A14=$X$8,W87,(IF(A14=$X$10,AA87,0)))))))))))))))</f>
        <v>0</v>
      </c>
      <c r="M14" s="179"/>
      <c r="N14" s="180"/>
      <c r="O14" s="8">
        <f>IF(C14&gt;0,VLOOKUP(F14,$AB$5:$AC$9,2,FALSE),0)</f>
        <v>0</v>
      </c>
      <c r="P14" s="9">
        <f>IF(A14=$X$6,S87,(IF(A14=$X$10,$W$10,(IF(A14=$X$5,Q87,(IF(A14=$X$7,$W$7,(IF(A14=$X$8,$W$8,(IF(A14=$X$9,$W$9,(IF(A14=$X$11,$W$11,(IF(A14=$X$12,$W$12,0))))))))))))))*B14)</f>
        <v>0</v>
      </c>
      <c r="Q14" s="9"/>
      <c r="R14" s="4"/>
      <c r="S14" s="4"/>
      <c r="T14" s="4">
        <f>+IF(A14=$X$6,U87,(IF(A14=$X$5,T87,0)))*B14</f>
        <v>0</v>
      </c>
      <c r="U14" s="4"/>
      <c r="V14" s="49" t="e">
        <f>VLOOKUP(C14,$X$22:$Y$29,2,TRUE)</f>
        <v>#N/A</v>
      </c>
      <c r="W14" s="49">
        <f>IF(D14&gt;2130,1,0)</f>
        <v>0</v>
      </c>
      <c r="X14" s="49" t="e">
        <f>SUM(V14:W14)</f>
        <v>#N/A</v>
      </c>
      <c r="Y14" s="4"/>
      <c r="Z14" s="60" t="e">
        <f>VLOOKUP(C14,$X$22:$Z$29,3)</f>
        <v>#N/A</v>
      </c>
      <c r="AA14" s="60" t="e">
        <f>VLOOKUP(D14,$AG$22:$AH$27,2)</f>
        <v>#N/A</v>
      </c>
      <c r="AB14" s="60" t="e">
        <f>SUM(Z14:AA14)*10</f>
        <v>#N/A</v>
      </c>
      <c r="AC14" s="4"/>
      <c r="AD14" s="4"/>
      <c r="AE14" s="4"/>
      <c r="AF14" s="4" t="s">
        <v>638</v>
      </c>
      <c r="AG14" s="4"/>
      <c r="AK14" s="60" t="e">
        <f>SUM(Z14:AA14)*13</f>
        <v>#N/A</v>
      </c>
      <c r="AM14" s="5" t="s">
        <v>84</v>
      </c>
      <c r="AN14" s="6" t="s">
        <v>85</v>
      </c>
      <c r="AO14" s="1">
        <v>1</v>
      </c>
      <c r="AQ14" s="9">
        <f>IF(A14=$X$6,2130,(IF(A14=$X$5,1980,(IF(A14=$X$7,2500,(IF(A14=$X$8,2380,(IF(A14=$X$9,2438,(IF(A14=$X$12,Magnet,0)))))))))))</f>
        <v>0</v>
      </c>
      <c r="AR14" s="9">
        <f>IF(A14=$X$6,2440,(IF(A14=$X$5,1830,(IF(A14=$X$7,10000,(IF(A14=$X$8,4000,(IF(A14=$X$9,0,(IF(A14=$X$12,Magnet,0)))))))))))</f>
        <v>0</v>
      </c>
      <c r="AT14" s="126" t="e">
        <f>VLOOKUP(F14,$AW$14:$AX$17,2,FALSE)</f>
        <v>#N/A</v>
      </c>
      <c r="AW14" s="114" t="s">
        <v>22</v>
      </c>
      <c r="AX14" s="1">
        <v>170</v>
      </c>
      <c r="AZ14" s="12" t="s">
        <v>636</v>
      </c>
      <c r="BB14" s="2">
        <f>IF(J14="Double door less than 1220mm wide",AT14,0)</f>
        <v>0</v>
      </c>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row>
    <row r="15" spans="1:142" ht="21.75" customHeight="1" x14ac:dyDescent="0.2">
      <c r="A15" s="98"/>
      <c r="B15" s="10"/>
      <c r="C15" s="11"/>
      <c r="D15" s="11"/>
      <c r="E15" s="12"/>
      <c r="F15" s="12"/>
      <c r="G15" s="12"/>
      <c r="H15" s="42"/>
      <c r="I15" s="12"/>
      <c r="J15" s="12"/>
      <c r="K15" s="12"/>
      <c r="L15" s="34">
        <f t="shared" si="0"/>
        <v>0</v>
      </c>
      <c r="M15" s="135"/>
      <c r="N15" s="136"/>
      <c r="O15" s="8">
        <f>IF(C15&gt;0,VLOOKUP(F15,$AB$5:$AC$9,2,FALSE),0)</f>
        <v>0</v>
      </c>
      <c r="P15" s="9">
        <f>IF(A15=$X$6,S88,(IF(A15=$X$10,$W$10,(IF(A15=$X$5,Q88,(IF(A15=$X$7,$W$7,(IF(A15=$X$8,$W$8,(IF(A15=$X$9,$W$9,(IF(A15=$X$11,$W$11,(IF(A15=$X$12,$W$12,0))))))))))))))*B15)</f>
        <v>0</v>
      </c>
      <c r="Q15" s="9"/>
      <c r="R15" s="4"/>
      <c r="S15" s="4"/>
      <c r="T15" s="4">
        <f>+IF(A15=$X$6,U88,(IF(A15=$X$5,T88,0)))*B15</f>
        <v>0</v>
      </c>
      <c r="U15" s="4"/>
      <c r="V15" s="49" t="e">
        <f t="shared" ref="V15:V17" si="1">VLOOKUP(C15,$X$22:$Y$29,2,TRUE)</f>
        <v>#N/A</v>
      </c>
      <c r="W15" s="49">
        <f t="shared" ref="W15:W18" si="2">IF(D15&gt;2130,1,0)</f>
        <v>0</v>
      </c>
      <c r="X15" s="49" t="e">
        <f t="shared" ref="X15:X18" si="3">SUM(V15:W15)</f>
        <v>#N/A</v>
      </c>
      <c r="Y15" s="4"/>
      <c r="Z15" s="60" t="e">
        <f t="shared" ref="Z15:Z18" si="4">VLOOKUP(C15,$X$22:$Z$29,3)</f>
        <v>#N/A</v>
      </c>
      <c r="AA15" s="60" t="e">
        <f t="shared" ref="AA15:AA18" si="5">VLOOKUP(D15,$AG$22:$AH$27,2)</f>
        <v>#N/A</v>
      </c>
      <c r="AB15" s="60" t="e">
        <f t="shared" ref="AB15:AB18" si="6">SUM(Z15:AA15)*10</f>
        <v>#N/A</v>
      </c>
      <c r="AC15" s="4"/>
      <c r="AD15" s="4"/>
      <c r="AE15" s="4"/>
      <c r="AF15" s="4" t="s">
        <v>86</v>
      </c>
      <c r="AG15" s="4"/>
      <c r="AK15" s="60" t="e">
        <f t="shared" ref="AK15:AK18" si="7">SUM(Z15:AA15)*13</f>
        <v>#N/A</v>
      </c>
      <c r="AM15" s="5" t="s">
        <v>87</v>
      </c>
      <c r="AN15" s="6" t="s">
        <v>88</v>
      </c>
      <c r="AO15" s="1">
        <v>1</v>
      </c>
      <c r="AT15" s="126" t="e">
        <f t="shared" ref="AT15:AT19" si="8">VLOOKUP(F15,$AW$14:$AX$17,2,FALSE)</f>
        <v>#N/A</v>
      </c>
      <c r="AW15" s="114"/>
      <c r="AZ15" s="12" t="s">
        <v>636</v>
      </c>
      <c r="BB15" s="2">
        <f t="shared" ref="BB15:BB19" si="9">IF(J15="Double door less than 1220mm wide",AT15,0)</f>
        <v>0</v>
      </c>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row>
    <row r="16" spans="1:142" ht="21.75" customHeight="1" x14ac:dyDescent="0.2">
      <c r="A16" s="98"/>
      <c r="B16" s="10"/>
      <c r="C16" s="11"/>
      <c r="D16" s="11"/>
      <c r="E16" s="12"/>
      <c r="F16" s="12"/>
      <c r="G16" s="12"/>
      <c r="H16" s="42"/>
      <c r="I16" s="12"/>
      <c r="J16" s="12"/>
      <c r="K16" s="12"/>
      <c r="L16" s="34">
        <f t="shared" si="0"/>
        <v>0</v>
      </c>
      <c r="M16" s="135"/>
      <c r="N16" s="136"/>
      <c r="O16" s="8">
        <f>IF(C16&gt;0,VLOOKUP(F16,$AB$5:$AC$9,2,FALSE),0)</f>
        <v>0</v>
      </c>
      <c r="P16" s="9">
        <f>IF(A16=$X$6,S89,(IF(A16=$X$10,$W$10,(IF(A16=$X$5,Q89,(IF(A16=$X$7,$W$7,(IF(A16=$X$8,$W$8,(IF(A16=$X$9,$W$9,(IF(A16=$X$11,$W$11,(IF(A16=$X$12,$W$12,0))))))))))))))*B16)</f>
        <v>0</v>
      </c>
      <c r="Q16" s="9"/>
      <c r="R16" s="4"/>
      <c r="S16" s="4"/>
      <c r="T16" s="4">
        <f>+IF(A16=$X$6,U89,(IF(A16=$X$5,T89,0)))*B16</f>
        <v>0</v>
      </c>
      <c r="U16" s="4"/>
      <c r="V16" s="49" t="e">
        <f t="shared" si="1"/>
        <v>#N/A</v>
      </c>
      <c r="W16" s="49">
        <f t="shared" si="2"/>
        <v>0</v>
      </c>
      <c r="X16" s="49" t="e">
        <f t="shared" si="3"/>
        <v>#N/A</v>
      </c>
      <c r="Y16" s="4"/>
      <c r="Z16" s="60" t="e">
        <f t="shared" si="4"/>
        <v>#N/A</v>
      </c>
      <c r="AA16" s="60" t="e">
        <f t="shared" si="5"/>
        <v>#N/A</v>
      </c>
      <c r="AB16" s="60" t="e">
        <f t="shared" si="6"/>
        <v>#N/A</v>
      </c>
      <c r="AC16" s="4"/>
      <c r="AD16" s="4"/>
      <c r="AE16" s="4"/>
      <c r="AF16" s="4" t="s">
        <v>89</v>
      </c>
      <c r="AG16" s="4"/>
      <c r="AK16" s="60" t="e">
        <f t="shared" si="7"/>
        <v>#N/A</v>
      </c>
      <c r="AM16" s="5" t="s">
        <v>90</v>
      </c>
      <c r="AN16" s="6" t="s">
        <v>91</v>
      </c>
      <c r="AO16" s="1">
        <v>1</v>
      </c>
      <c r="AT16" s="126" t="e">
        <f t="shared" si="8"/>
        <v>#N/A</v>
      </c>
      <c r="AW16" s="114" t="s">
        <v>34</v>
      </c>
      <c r="AX16" s="1">
        <v>211</v>
      </c>
      <c r="AZ16" s="12" t="s">
        <v>636</v>
      </c>
      <c r="BB16" s="2">
        <f t="shared" si="9"/>
        <v>0</v>
      </c>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row>
    <row r="17" spans="1:142" ht="21" customHeight="1" x14ac:dyDescent="0.2">
      <c r="A17" s="98"/>
      <c r="B17" s="10"/>
      <c r="C17" s="11"/>
      <c r="D17" s="11"/>
      <c r="E17" s="12"/>
      <c r="F17" s="12"/>
      <c r="G17" s="12"/>
      <c r="H17" s="42"/>
      <c r="I17" s="12"/>
      <c r="J17" s="12"/>
      <c r="K17" s="12"/>
      <c r="L17" s="34">
        <f t="shared" si="0"/>
        <v>0</v>
      </c>
      <c r="M17" s="135"/>
      <c r="N17" s="136"/>
      <c r="O17" s="8">
        <f>IF(C17&gt;0,VLOOKUP(F17,$AB$5:$AC$9,2,FALSE),0)</f>
        <v>0</v>
      </c>
      <c r="P17" s="9">
        <f>IF(A17=$X$6,S90,(IF(A17=$X$10,$W$10,(IF(A17=$X$5,Q90,(IF(A17=$X$7,$W$7,(IF(A17=$X$8,$W$8,(IF(A17=$X$9,$W$9,(IF(A17=$X$11,$W$11,(IF(A17=$X$12,$W$12,0))))))))))))))*B17)</f>
        <v>0</v>
      </c>
      <c r="Q17" s="9"/>
      <c r="R17" s="4"/>
      <c r="S17" s="4"/>
      <c r="T17" s="4">
        <f>+IF(A17=$X$6,U90,(IF(A17=$X$5,T90,0)))*B17</f>
        <v>0</v>
      </c>
      <c r="U17" s="4"/>
      <c r="V17" s="49" t="e">
        <f t="shared" si="1"/>
        <v>#N/A</v>
      </c>
      <c r="W17" s="49">
        <f t="shared" si="2"/>
        <v>0</v>
      </c>
      <c r="X17" s="49" t="e">
        <f t="shared" si="3"/>
        <v>#N/A</v>
      </c>
      <c r="Y17" s="4"/>
      <c r="Z17" s="60" t="e">
        <f t="shared" si="4"/>
        <v>#N/A</v>
      </c>
      <c r="AA17" s="60" t="e">
        <f t="shared" si="5"/>
        <v>#N/A</v>
      </c>
      <c r="AB17" s="60" t="e">
        <f t="shared" si="6"/>
        <v>#N/A</v>
      </c>
      <c r="AC17" s="4" t="s">
        <v>92</v>
      </c>
      <c r="AD17" s="4"/>
      <c r="AE17" s="4"/>
      <c r="AF17" s="4" t="s">
        <v>93</v>
      </c>
      <c r="AG17" s="4"/>
      <c r="AK17" s="60" t="e">
        <f t="shared" si="7"/>
        <v>#N/A</v>
      </c>
      <c r="AM17" s="5" t="s">
        <v>94</v>
      </c>
      <c r="AN17" s="6" t="s">
        <v>95</v>
      </c>
      <c r="AO17" s="1">
        <v>1</v>
      </c>
      <c r="AT17" s="126" t="e">
        <f t="shared" si="8"/>
        <v>#N/A</v>
      </c>
      <c r="AW17" s="114" t="s">
        <v>49</v>
      </c>
      <c r="AX17" s="1">
        <v>228</v>
      </c>
      <c r="AZ17" s="12" t="s">
        <v>636</v>
      </c>
      <c r="BB17" s="2">
        <f t="shared" si="9"/>
        <v>0</v>
      </c>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row>
    <row r="18" spans="1:142" ht="21" customHeight="1" x14ac:dyDescent="0.2">
      <c r="A18" s="98"/>
      <c r="B18" s="10"/>
      <c r="C18" s="11"/>
      <c r="D18" s="11"/>
      <c r="E18" s="12"/>
      <c r="F18" s="12"/>
      <c r="G18" s="12"/>
      <c r="H18" s="42"/>
      <c r="I18" s="12"/>
      <c r="J18" s="12"/>
      <c r="K18" s="12"/>
      <c r="L18" s="34">
        <f t="shared" si="0"/>
        <v>0</v>
      </c>
      <c r="M18" s="135"/>
      <c r="N18" s="136"/>
      <c r="O18" s="8">
        <f>IF(C18&gt;0,VLOOKUP(F18,$AB$5:$AC$9,2,FALSE),0)</f>
        <v>0</v>
      </c>
      <c r="P18" s="9">
        <f>IF(A18=$X$6,S91,(IF(A18=$X$10,$W$10,(IF(A18=$X$5,Q91,(IF(A18=$X$7,$W$7,(IF(A18=$X$8,$W$8,(IF(A18=$X$9,$W$9,(IF(A18=$X$11,$W$11,(IF(A18=$X$12,$W$12,0))))))))))))))*B18)</f>
        <v>0</v>
      </c>
      <c r="Q18" s="9"/>
      <c r="R18" s="4"/>
      <c r="S18" s="4"/>
      <c r="T18" s="4">
        <f>+IF(A18=$X$6,U91,(IF(A18=$X$5,T91,0)))*B18</f>
        <v>0</v>
      </c>
      <c r="U18" s="4"/>
      <c r="V18" s="49" t="e">
        <f>VLOOKUP(C18,$X$22:$Y$29,2,TRUE)</f>
        <v>#N/A</v>
      </c>
      <c r="W18" s="49">
        <f t="shared" si="2"/>
        <v>0</v>
      </c>
      <c r="X18" s="49" t="e">
        <f t="shared" si="3"/>
        <v>#N/A</v>
      </c>
      <c r="Y18" s="4"/>
      <c r="Z18" s="60" t="e">
        <f t="shared" si="4"/>
        <v>#N/A</v>
      </c>
      <c r="AA18" s="60" t="e">
        <f t="shared" si="5"/>
        <v>#N/A</v>
      </c>
      <c r="AB18" s="60" t="e">
        <f t="shared" si="6"/>
        <v>#N/A</v>
      </c>
      <c r="AC18" s="4" t="s">
        <v>96</v>
      </c>
      <c r="AD18" s="4"/>
      <c r="AE18" s="4"/>
      <c r="AF18" s="4"/>
      <c r="AG18" s="4"/>
      <c r="AK18" s="60" t="e">
        <f t="shared" si="7"/>
        <v>#N/A</v>
      </c>
      <c r="AM18" s="5" t="s">
        <v>97</v>
      </c>
      <c r="AN18" s="6" t="s">
        <v>98</v>
      </c>
      <c r="AO18" s="1">
        <v>1</v>
      </c>
      <c r="AT18" s="126" t="e">
        <f t="shared" si="8"/>
        <v>#N/A</v>
      </c>
      <c r="AZ18" s="12" t="s">
        <v>636</v>
      </c>
      <c r="BB18" s="2">
        <f t="shared" si="9"/>
        <v>0</v>
      </c>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row>
    <row r="19" spans="1:142" ht="70.900000000000006" customHeight="1" x14ac:dyDescent="0.2">
      <c r="A19" s="142" t="s">
        <v>99</v>
      </c>
      <c r="B19" s="143"/>
      <c r="C19" s="143"/>
      <c r="D19" s="143"/>
      <c r="E19" s="143"/>
      <c r="F19" s="143"/>
      <c r="G19" s="143"/>
      <c r="H19" s="143"/>
      <c r="I19" s="143"/>
      <c r="J19" s="143"/>
      <c r="K19" s="143"/>
      <c r="L19" s="143"/>
      <c r="M19" s="143"/>
      <c r="N19" s="144"/>
      <c r="W19" s="1">
        <v>1</v>
      </c>
      <c r="X19" s="4" t="s">
        <v>62</v>
      </c>
      <c r="AA19" s="61">
        <v>2</v>
      </c>
      <c r="AB19" s="61"/>
      <c r="AF19" s="1" t="s">
        <v>63</v>
      </c>
      <c r="AM19" s="5"/>
      <c r="AN19" s="6"/>
      <c r="AT19" s="126" t="e">
        <f t="shared" si="8"/>
        <v>#N/A</v>
      </c>
      <c r="AZ19" s="12" t="s">
        <v>636</v>
      </c>
      <c r="BB19" s="2">
        <f t="shared" si="9"/>
        <v>0</v>
      </c>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row>
    <row r="20" spans="1:142" ht="89.25" customHeight="1" x14ac:dyDescent="0.2">
      <c r="A20" s="97" t="s">
        <v>68</v>
      </c>
      <c r="B20" s="40" t="s">
        <v>69</v>
      </c>
      <c r="C20" s="88" t="s">
        <v>70</v>
      </c>
      <c r="D20" s="88" t="s">
        <v>71</v>
      </c>
      <c r="E20" s="88" t="s">
        <v>100</v>
      </c>
      <c r="F20" s="88" t="s">
        <v>606</v>
      </c>
      <c r="G20" s="40" t="s">
        <v>628</v>
      </c>
      <c r="H20" s="40" t="s">
        <v>74</v>
      </c>
      <c r="I20" s="88" t="s">
        <v>101</v>
      </c>
      <c r="J20" s="88" t="s">
        <v>102</v>
      </c>
      <c r="K20" s="40" t="s">
        <v>640</v>
      </c>
      <c r="L20" s="88" t="s">
        <v>78</v>
      </c>
      <c r="M20" s="163" t="s">
        <v>79</v>
      </c>
      <c r="N20" s="164"/>
      <c r="O20" s="8"/>
      <c r="W20" s="4"/>
      <c r="X20" s="4"/>
      <c r="AM20" s="5"/>
      <c r="AN20" s="6"/>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row>
    <row r="21" spans="1:142" ht="21.75" customHeight="1" x14ac:dyDescent="0.2">
      <c r="A21" s="98" t="s">
        <v>21</v>
      </c>
      <c r="B21" s="10">
        <v>1</v>
      </c>
      <c r="C21" s="10">
        <v>1390</v>
      </c>
      <c r="D21" s="11">
        <v>1029</v>
      </c>
      <c r="E21" s="12" t="s">
        <v>0</v>
      </c>
      <c r="F21" s="12" t="s">
        <v>22</v>
      </c>
      <c r="G21" s="12" t="s">
        <v>23</v>
      </c>
      <c r="H21" s="12" t="s">
        <v>24</v>
      </c>
      <c r="I21" s="42"/>
      <c r="J21" s="42"/>
      <c r="K21" s="12" t="s">
        <v>637</v>
      </c>
      <c r="L21" s="34">
        <f t="shared" ref="L21:L30" si="10">+IF(A21=$X$6,R92,(IF(A21=$X$5,P92,(IF(A21=$X$11,Y92,(IF(A21=$X$9,X92,(IF(A21=$X$12,Z92,(IF(A21=$X$7,V92,(IF(A21=$X$8,W92,(IF(A21=$X$10,AA92,0)))))))))))))))</f>
        <v>243</v>
      </c>
      <c r="M21" s="134" t="s">
        <v>653</v>
      </c>
      <c r="N21" s="134"/>
      <c r="O21" s="8">
        <f>IF(C21&gt;0,VLOOKUP(F21,$AB$5:$AC$9,2,FALSE),0)</f>
        <v>0</v>
      </c>
      <c r="P21" s="9">
        <f t="shared" ref="P21:P30" si="11">IF(A21=$X$6,S92,(IF(A21=$X$5,Q92,(IF(A21=$X$10,$W$10,(IF(A21=$X$8,$W$8,(IF(A21=$X$9,$W$9,(IF(A21=$X$11,$W$11,(IF(A21=$X$12,$W$12,0)))))))))))))*B21</f>
        <v>4.75</v>
      </c>
      <c r="Q21" s="9"/>
      <c r="R21" s="4"/>
      <c r="S21" s="4"/>
      <c r="T21" s="4">
        <f t="shared" ref="T21:T30" si="12">+IF(A21=$X$6,U92,(IF(A21=$X$5,T92,0)))*B21</f>
        <v>-223</v>
      </c>
      <c r="U21" s="4"/>
      <c r="V21" s="4"/>
      <c r="W21" s="4"/>
      <c r="X21" s="4"/>
      <c r="Y21" s="4"/>
      <c r="Z21" s="4" t="s">
        <v>591</v>
      </c>
      <c r="AA21" s="4"/>
      <c r="AB21" s="4"/>
      <c r="AC21" s="4" t="s">
        <v>103</v>
      </c>
      <c r="AD21" s="4"/>
      <c r="AE21" s="4"/>
      <c r="AF21" s="4"/>
      <c r="AG21" s="4" t="s">
        <v>593</v>
      </c>
      <c r="AH21" s="1" t="s">
        <v>594</v>
      </c>
      <c r="AM21" s="5" t="s">
        <v>104</v>
      </c>
      <c r="AN21" s="6" t="s">
        <v>105</v>
      </c>
      <c r="AO21" s="1">
        <v>1</v>
      </c>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row>
    <row r="22" spans="1:142" ht="21.75" customHeight="1" x14ac:dyDescent="0.2">
      <c r="A22" s="98" t="s">
        <v>21</v>
      </c>
      <c r="B22" s="10">
        <v>1</v>
      </c>
      <c r="C22" s="10">
        <v>1178</v>
      </c>
      <c r="D22" s="11">
        <v>1232</v>
      </c>
      <c r="E22" s="12" t="s">
        <v>0</v>
      </c>
      <c r="F22" s="12" t="s">
        <v>22</v>
      </c>
      <c r="G22" s="12" t="s">
        <v>23</v>
      </c>
      <c r="H22" s="12" t="s">
        <v>24</v>
      </c>
      <c r="I22" s="42"/>
      <c r="J22" s="42"/>
      <c r="K22" s="12" t="s">
        <v>637</v>
      </c>
      <c r="L22" s="34" t="e">
        <f t="shared" si="10"/>
        <v>#REF!</v>
      </c>
      <c r="M22" s="135"/>
      <c r="N22" s="136"/>
      <c r="O22" s="8">
        <f t="shared" ref="O22:O30" si="13">IF(C22&gt;0,VLOOKUP(F22,$AB$5:$AC$9,2,FALSE),0)</f>
        <v>0</v>
      </c>
      <c r="P22" s="9">
        <f t="shared" si="11"/>
        <v>4</v>
      </c>
      <c r="Q22" s="9"/>
      <c r="R22" s="4"/>
      <c r="S22" s="4"/>
      <c r="T22" s="4">
        <f t="shared" si="12"/>
        <v>-210</v>
      </c>
      <c r="U22" s="4"/>
      <c r="V22" s="4"/>
      <c r="W22" s="4"/>
      <c r="X22" s="60">
        <v>1</v>
      </c>
      <c r="Y22" s="60">
        <v>0</v>
      </c>
      <c r="Z22" s="4">
        <v>0</v>
      </c>
      <c r="AA22" s="4"/>
      <c r="AB22" s="4"/>
      <c r="AC22" s="4" t="s">
        <v>106</v>
      </c>
      <c r="AD22" s="4"/>
      <c r="AE22" s="4"/>
      <c r="AF22" s="4"/>
      <c r="AG22" s="1">
        <v>1</v>
      </c>
      <c r="AH22" s="1">
        <v>0</v>
      </c>
      <c r="AM22" s="5" t="s">
        <v>107</v>
      </c>
      <c r="AN22" s="6" t="s">
        <v>108</v>
      </c>
      <c r="AO22" s="1">
        <v>4</v>
      </c>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row>
    <row r="23" spans="1:142" ht="21.75" customHeight="1" x14ac:dyDescent="0.2">
      <c r="A23" s="98" t="s">
        <v>21</v>
      </c>
      <c r="B23" s="10">
        <v>1</v>
      </c>
      <c r="C23" s="10">
        <v>1380</v>
      </c>
      <c r="D23" s="11">
        <v>1025</v>
      </c>
      <c r="E23" s="12" t="s">
        <v>0</v>
      </c>
      <c r="F23" s="12" t="s">
        <v>22</v>
      </c>
      <c r="G23" s="12" t="s">
        <v>23</v>
      </c>
      <c r="H23" s="12" t="s">
        <v>24</v>
      </c>
      <c r="I23" s="42"/>
      <c r="J23" s="42"/>
      <c r="K23" s="12" t="s">
        <v>637</v>
      </c>
      <c r="L23" s="34">
        <f t="shared" si="10"/>
        <v>243</v>
      </c>
      <c r="M23" s="135"/>
      <c r="N23" s="136"/>
      <c r="O23" s="8">
        <f t="shared" si="13"/>
        <v>0</v>
      </c>
      <c r="P23" s="9">
        <f t="shared" si="11"/>
        <v>4.75</v>
      </c>
      <c r="Q23" s="9"/>
      <c r="R23" s="4"/>
      <c r="S23" s="4"/>
      <c r="T23" s="4">
        <f t="shared" si="12"/>
        <v>-223</v>
      </c>
      <c r="U23" s="4"/>
      <c r="V23" s="4"/>
      <c r="W23" s="4"/>
      <c r="X23" s="60">
        <v>914</v>
      </c>
      <c r="Y23" s="60">
        <v>0</v>
      </c>
      <c r="Z23" s="60">
        <v>0</v>
      </c>
      <c r="AA23" s="4"/>
      <c r="AB23" s="4"/>
      <c r="AC23" s="4" t="s">
        <v>109</v>
      </c>
      <c r="AD23" s="4"/>
      <c r="AE23" s="4"/>
      <c r="AF23" s="4"/>
      <c r="AG23" s="1">
        <v>2130</v>
      </c>
      <c r="AH23" s="1">
        <v>0</v>
      </c>
      <c r="AM23" s="5" t="s">
        <v>110</v>
      </c>
      <c r="AN23" s="6" t="s">
        <v>111</v>
      </c>
      <c r="AO23" s="1">
        <v>1</v>
      </c>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row>
    <row r="24" spans="1:142" ht="21.75" customHeight="1" x14ac:dyDescent="0.2">
      <c r="A24" s="98" t="s">
        <v>64</v>
      </c>
      <c r="B24" s="10">
        <v>1</v>
      </c>
      <c r="C24" s="10"/>
      <c r="D24" s="11"/>
      <c r="E24" s="12"/>
      <c r="F24" s="12"/>
      <c r="G24" s="12"/>
      <c r="H24" s="12"/>
      <c r="I24" s="42"/>
      <c r="J24" s="42"/>
      <c r="K24" s="134"/>
      <c r="L24" s="34">
        <f t="shared" si="10"/>
        <v>20</v>
      </c>
      <c r="M24" s="135"/>
      <c r="N24" s="136"/>
      <c r="O24" s="8">
        <f t="shared" si="13"/>
        <v>0</v>
      </c>
      <c r="P24" s="9">
        <f t="shared" si="11"/>
        <v>0.5</v>
      </c>
      <c r="Q24" s="9"/>
      <c r="R24" s="4"/>
      <c r="S24" s="4"/>
      <c r="T24" s="4">
        <f t="shared" si="12"/>
        <v>0</v>
      </c>
      <c r="U24" s="4"/>
      <c r="V24" s="4"/>
      <c r="W24" s="4"/>
      <c r="X24" s="60">
        <v>915</v>
      </c>
      <c r="Y24" s="60">
        <v>1</v>
      </c>
      <c r="Z24" s="60">
        <v>0</v>
      </c>
      <c r="AA24" s="4"/>
      <c r="AB24" s="4"/>
      <c r="AC24" s="4" t="s">
        <v>112</v>
      </c>
      <c r="AD24" s="4"/>
      <c r="AE24" s="4"/>
      <c r="AF24" s="4"/>
      <c r="AG24" s="1">
        <v>2131</v>
      </c>
      <c r="AH24" s="1">
        <v>1</v>
      </c>
      <c r="AM24" s="5" t="s">
        <v>113</v>
      </c>
      <c r="AN24" s="6" t="s">
        <v>114</v>
      </c>
      <c r="AO24" s="1">
        <v>1</v>
      </c>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row>
    <row r="25" spans="1:142" ht="21.75" customHeight="1" x14ac:dyDescent="0.2">
      <c r="A25" s="98"/>
      <c r="B25" s="10"/>
      <c r="C25" s="10"/>
      <c r="D25" s="11"/>
      <c r="E25" s="12"/>
      <c r="F25" s="12"/>
      <c r="G25" s="12"/>
      <c r="H25" s="12"/>
      <c r="I25" s="42"/>
      <c r="J25" s="42"/>
      <c r="K25" s="12"/>
      <c r="L25" s="34">
        <f t="shared" si="10"/>
        <v>0</v>
      </c>
      <c r="M25" s="135"/>
      <c r="N25" s="136"/>
      <c r="O25" s="8">
        <f t="shared" si="13"/>
        <v>0</v>
      </c>
      <c r="P25" s="9">
        <f t="shared" si="11"/>
        <v>0</v>
      </c>
      <c r="Q25" s="9"/>
      <c r="R25" s="4"/>
      <c r="S25" s="4"/>
      <c r="T25" s="4">
        <f t="shared" si="12"/>
        <v>0</v>
      </c>
      <c r="U25" s="4"/>
      <c r="V25" s="4"/>
      <c r="W25" s="4"/>
      <c r="X25" s="60">
        <v>1220</v>
      </c>
      <c r="Y25" s="60">
        <v>1</v>
      </c>
      <c r="Z25" s="60">
        <v>0</v>
      </c>
      <c r="AA25" s="4"/>
      <c r="AB25" s="4"/>
      <c r="AC25" s="4" t="s">
        <v>115</v>
      </c>
      <c r="AD25" s="4"/>
      <c r="AE25" s="4"/>
      <c r="AF25" s="4"/>
      <c r="AG25" s="1">
        <v>2500</v>
      </c>
      <c r="AH25" s="1">
        <v>1</v>
      </c>
      <c r="AM25" s="5" t="s">
        <v>116</v>
      </c>
      <c r="AN25" s="6" t="s">
        <v>117</v>
      </c>
      <c r="AO25" s="1">
        <v>1</v>
      </c>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row>
    <row r="26" spans="1:142" ht="21.75" customHeight="1" x14ac:dyDescent="0.2">
      <c r="A26" s="98"/>
      <c r="B26" s="10"/>
      <c r="C26" s="10"/>
      <c r="D26" s="11"/>
      <c r="E26" s="12"/>
      <c r="F26" s="12"/>
      <c r="G26" s="12"/>
      <c r="H26" s="12"/>
      <c r="I26" s="42"/>
      <c r="J26" s="42"/>
      <c r="K26" s="12"/>
      <c r="L26" s="34">
        <f t="shared" si="10"/>
        <v>0</v>
      </c>
      <c r="M26" s="135"/>
      <c r="N26" s="136"/>
      <c r="O26" s="8">
        <f t="shared" si="13"/>
        <v>0</v>
      </c>
      <c r="P26" s="9">
        <f t="shared" si="11"/>
        <v>0</v>
      </c>
      <c r="Q26" s="9"/>
      <c r="R26" s="4"/>
      <c r="S26" s="4"/>
      <c r="T26" s="4">
        <f t="shared" si="12"/>
        <v>0</v>
      </c>
      <c r="U26" s="4"/>
      <c r="V26" s="4"/>
      <c r="W26" s="4"/>
      <c r="X26" s="60">
        <v>1221</v>
      </c>
      <c r="Y26" s="60">
        <v>0</v>
      </c>
      <c r="Z26" s="60">
        <v>2</v>
      </c>
      <c r="AA26" s="4"/>
      <c r="AB26" s="4"/>
      <c r="AC26" s="4" t="s">
        <v>118</v>
      </c>
      <c r="AD26" s="4"/>
      <c r="AE26" s="4"/>
      <c r="AF26" s="4"/>
      <c r="AG26" s="1">
        <v>2501</v>
      </c>
      <c r="AH26" s="1">
        <v>2</v>
      </c>
      <c r="AM26" s="5" t="s">
        <v>119</v>
      </c>
      <c r="AN26" s="6" t="s">
        <v>120</v>
      </c>
      <c r="AO26" s="1">
        <v>1</v>
      </c>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row>
    <row r="27" spans="1:142" ht="21.75" customHeight="1" x14ac:dyDescent="0.2">
      <c r="A27" s="98"/>
      <c r="B27" s="10"/>
      <c r="C27" s="10"/>
      <c r="D27" s="11"/>
      <c r="E27" s="12"/>
      <c r="F27" s="12"/>
      <c r="G27" s="12"/>
      <c r="H27" s="12"/>
      <c r="I27" s="42"/>
      <c r="J27" s="42"/>
      <c r="K27" s="12"/>
      <c r="L27" s="34">
        <f t="shared" si="10"/>
        <v>0</v>
      </c>
      <c r="M27" s="135"/>
      <c r="N27" s="136"/>
      <c r="O27" s="8">
        <f t="shared" si="13"/>
        <v>0</v>
      </c>
      <c r="P27" s="9">
        <f t="shared" si="11"/>
        <v>0</v>
      </c>
      <c r="Q27" s="9"/>
      <c r="R27" s="4"/>
      <c r="S27" s="4"/>
      <c r="T27" s="4">
        <f t="shared" si="12"/>
        <v>0</v>
      </c>
      <c r="U27" s="4"/>
      <c r="V27" s="4"/>
      <c r="W27" s="4"/>
      <c r="X27" s="60">
        <v>1830</v>
      </c>
      <c r="Y27" s="60">
        <v>0</v>
      </c>
      <c r="Z27" s="60">
        <v>2</v>
      </c>
      <c r="AA27" s="4"/>
      <c r="AB27" s="4"/>
      <c r="AC27" s="4" t="s">
        <v>121</v>
      </c>
      <c r="AD27" s="4"/>
      <c r="AE27" s="4"/>
      <c r="AF27" s="4"/>
      <c r="AG27" s="1">
        <v>3000</v>
      </c>
      <c r="AH27" s="1">
        <v>2</v>
      </c>
      <c r="AM27" s="5" t="s">
        <v>122</v>
      </c>
      <c r="AN27" s="6" t="s">
        <v>123</v>
      </c>
      <c r="AO27" s="1">
        <v>1</v>
      </c>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row>
    <row r="28" spans="1:142" ht="21.75" customHeight="1" x14ac:dyDescent="0.2">
      <c r="A28" s="98"/>
      <c r="B28" s="10"/>
      <c r="C28" s="10"/>
      <c r="D28" s="11"/>
      <c r="E28" s="12"/>
      <c r="F28" s="12"/>
      <c r="G28" s="12"/>
      <c r="H28" s="12"/>
      <c r="I28" s="42"/>
      <c r="J28" s="42"/>
      <c r="K28" s="12"/>
      <c r="L28" s="34">
        <f t="shared" si="10"/>
        <v>0</v>
      </c>
      <c r="M28" s="135"/>
      <c r="N28" s="136"/>
      <c r="O28" s="8">
        <f t="shared" si="13"/>
        <v>0</v>
      </c>
      <c r="P28" s="9">
        <f t="shared" si="11"/>
        <v>0</v>
      </c>
      <c r="Q28" s="9"/>
      <c r="R28" s="4"/>
      <c r="S28" s="4"/>
      <c r="T28" s="4">
        <f t="shared" si="12"/>
        <v>0</v>
      </c>
      <c r="U28" s="4"/>
      <c r="V28" s="4"/>
      <c r="W28" s="4"/>
      <c r="X28" s="60">
        <v>1831</v>
      </c>
      <c r="Y28" s="60">
        <v>1</v>
      </c>
      <c r="Z28" s="60">
        <v>2</v>
      </c>
      <c r="AA28" s="4"/>
      <c r="AB28" s="4"/>
      <c r="AC28" s="4" t="s">
        <v>124</v>
      </c>
      <c r="AD28" s="4"/>
      <c r="AE28" s="4"/>
      <c r="AF28" s="4"/>
      <c r="AG28" s="4"/>
      <c r="AM28" s="5" t="s">
        <v>125</v>
      </c>
      <c r="AN28" s="6" t="s">
        <v>126</v>
      </c>
      <c r="AO28" s="1">
        <v>1</v>
      </c>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row>
    <row r="29" spans="1:142" ht="21.6" customHeight="1" x14ac:dyDescent="0.2">
      <c r="A29" s="98"/>
      <c r="B29" s="10"/>
      <c r="C29" s="10"/>
      <c r="D29" s="11"/>
      <c r="E29" s="12"/>
      <c r="F29" s="12"/>
      <c r="G29" s="12"/>
      <c r="H29" s="12"/>
      <c r="I29" s="42"/>
      <c r="J29" s="42"/>
      <c r="K29" s="12"/>
      <c r="L29" s="34">
        <f t="shared" si="10"/>
        <v>0</v>
      </c>
      <c r="M29" s="135"/>
      <c r="N29" s="136"/>
      <c r="O29" s="8">
        <f t="shared" si="13"/>
        <v>0</v>
      </c>
      <c r="P29" s="9">
        <f t="shared" si="11"/>
        <v>0</v>
      </c>
      <c r="Q29" s="9"/>
      <c r="R29" s="4"/>
      <c r="S29" s="4"/>
      <c r="T29" s="4">
        <f t="shared" si="12"/>
        <v>0</v>
      </c>
      <c r="U29" s="4"/>
      <c r="V29" s="4"/>
      <c r="W29" s="4"/>
      <c r="X29" s="60">
        <v>2440</v>
      </c>
      <c r="Y29" s="60">
        <v>1</v>
      </c>
      <c r="Z29" s="60">
        <v>2</v>
      </c>
      <c r="AA29" s="4"/>
      <c r="AB29" s="4"/>
      <c r="AC29" s="4" t="s">
        <v>127</v>
      </c>
      <c r="AD29" s="4"/>
      <c r="AE29" s="4"/>
      <c r="AM29" s="5" t="s">
        <v>128</v>
      </c>
      <c r="AN29" s="6" t="s">
        <v>129</v>
      </c>
      <c r="AO29" s="1">
        <v>1</v>
      </c>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row>
    <row r="30" spans="1:142" ht="21.75" customHeight="1" x14ac:dyDescent="0.2">
      <c r="A30" s="98"/>
      <c r="B30" s="10"/>
      <c r="C30" s="10"/>
      <c r="D30" s="11"/>
      <c r="E30" s="12"/>
      <c r="F30" s="12"/>
      <c r="G30" s="12"/>
      <c r="H30" s="12"/>
      <c r="I30" s="42"/>
      <c r="J30" s="42"/>
      <c r="K30" s="12"/>
      <c r="L30" s="34">
        <f t="shared" si="10"/>
        <v>0</v>
      </c>
      <c r="M30" s="135"/>
      <c r="N30" s="136"/>
      <c r="O30" s="8">
        <f t="shared" si="13"/>
        <v>0</v>
      </c>
      <c r="P30" s="9">
        <f t="shared" si="11"/>
        <v>0</v>
      </c>
      <c r="Q30" s="9"/>
      <c r="R30" s="4"/>
      <c r="S30" s="4"/>
      <c r="T30" s="4">
        <f t="shared" si="12"/>
        <v>0</v>
      </c>
      <c r="U30" s="4"/>
      <c r="V30" s="4"/>
      <c r="W30" s="4"/>
      <c r="X30" s="4"/>
      <c r="Y30" s="4"/>
      <c r="Z30" s="4"/>
      <c r="AA30" s="4"/>
      <c r="AB30" s="4"/>
      <c r="AC30" s="4" t="s">
        <v>130</v>
      </c>
      <c r="AD30" s="4"/>
      <c r="AE30" s="4"/>
      <c r="AF30" s="4"/>
      <c r="AG30" s="4"/>
      <c r="AM30" s="5" t="s">
        <v>131</v>
      </c>
      <c r="AN30" s="6" t="s">
        <v>132</v>
      </c>
      <c r="AO30" s="1">
        <v>1</v>
      </c>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row>
    <row r="31" spans="1:142" ht="70.900000000000006" customHeight="1" x14ac:dyDescent="0.2">
      <c r="A31" s="142" t="s">
        <v>133</v>
      </c>
      <c r="B31" s="143"/>
      <c r="C31" s="143"/>
      <c r="D31" s="143"/>
      <c r="E31" s="143"/>
      <c r="F31" s="143"/>
      <c r="G31" s="143"/>
      <c r="H31" s="143"/>
      <c r="I31" s="143"/>
      <c r="J31" s="143"/>
      <c r="K31" s="143"/>
      <c r="L31" s="143"/>
      <c r="M31" s="143"/>
      <c r="N31" s="144"/>
      <c r="W31" s="1">
        <v>1</v>
      </c>
      <c r="X31" s="4" t="s">
        <v>62</v>
      </c>
      <c r="AF31" s="1" t="s">
        <v>63</v>
      </c>
      <c r="AM31" s="5"/>
      <c r="AN31" s="6"/>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row>
    <row r="32" spans="1:142" ht="89.25" customHeight="1" x14ac:dyDescent="0.2">
      <c r="A32" s="99" t="s">
        <v>634</v>
      </c>
      <c r="B32" s="43" t="s">
        <v>69</v>
      </c>
      <c r="C32" s="87" t="s">
        <v>70</v>
      </c>
      <c r="D32" s="87" t="s">
        <v>71</v>
      </c>
      <c r="E32" s="87" t="s">
        <v>134</v>
      </c>
      <c r="F32" s="87" t="s">
        <v>605</v>
      </c>
      <c r="G32" s="43" t="s">
        <v>629</v>
      </c>
      <c r="H32" s="87" t="s">
        <v>135</v>
      </c>
      <c r="I32" s="87" t="s">
        <v>136</v>
      </c>
      <c r="J32" s="87" t="s">
        <v>137</v>
      </c>
      <c r="K32" s="87" t="s">
        <v>138</v>
      </c>
      <c r="L32" s="87" t="s">
        <v>78</v>
      </c>
      <c r="M32" s="140" t="s">
        <v>79</v>
      </c>
      <c r="N32" s="141"/>
      <c r="O32" s="8"/>
      <c r="W32" s="4">
        <v>0</v>
      </c>
      <c r="X32" s="4">
        <v>100</v>
      </c>
      <c r="AM32" s="5"/>
      <c r="AN32" s="6"/>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row>
    <row r="33" spans="1:142" ht="21.75" customHeight="1" x14ac:dyDescent="0.2">
      <c r="A33" s="98"/>
      <c r="B33" s="10"/>
      <c r="C33" s="11"/>
      <c r="D33" s="11"/>
      <c r="E33" s="42"/>
      <c r="F33" s="12"/>
      <c r="G33" s="42"/>
      <c r="H33" s="42"/>
      <c r="I33" s="42"/>
      <c r="J33" s="42"/>
      <c r="K33" s="42"/>
      <c r="L33" s="34">
        <f t="shared" ref="L33:L38" si="14">+IF(F33=$AB$5,W102,(IF(A33=$X$8,W102,0)))</f>
        <v>0</v>
      </c>
      <c r="M33" s="135"/>
      <c r="N33" s="136"/>
      <c r="O33" s="8">
        <f t="shared" ref="O33:O38" si="15">IF(C33&gt;0,VLOOKUP(F33,$AB$5:$AC$8,2,FALSE),0)</f>
        <v>0</v>
      </c>
      <c r="P33" s="9">
        <f>IF(Q33&gt;1,Q33,0)</f>
        <v>0</v>
      </c>
      <c r="Q33" s="9">
        <f>IF($C$33&gt;2000,$B$33*30,$B$33*15)</f>
        <v>0</v>
      </c>
      <c r="R33" s="4"/>
      <c r="S33" s="4">
        <f>VLOOKUP(L33,$W$32:$X$34,2,TRUE)</f>
        <v>100</v>
      </c>
      <c r="T33" s="4">
        <f>IF(C33&gt;0,S33,0)</f>
        <v>0</v>
      </c>
      <c r="U33" s="4"/>
      <c r="V33" s="4"/>
      <c r="W33" s="4">
        <v>500</v>
      </c>
      <c r="X33" s="4">
        <v>200</v>
      </c>
      <c r="Y33" s="4"/>
      <c r="Z33" s="4"/>
      <c r="AA33" s="4"/>
      <c r="AB33" s="4"/>
      <c r="AC33" s="4"/>
      <c r="AD33" s="4"/>
      <c r="AE33" s="4"/>
      <c r="AF33" s="4"/>
      <c r="AG33" s="4"/>
      <c r="AM33" s="5" t="s">
        <v>139</v>
      </c>
      <c r="AN33" s="6" t="s">
        <v>140</v>
      </c>
      <c r="AO33" s="1">
        <v>1</v>
      </c>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row>
    <row r="34" spans="1:142" ht="21.75" customHeight="1" x14ac:dyDescent="0.2">
      <c r="A34" s="98"/>
      <c r="B34" s="10"/>
      <c r="C34" s="11"/>
      <c r="D34" s="11"/>
      <c r="E34" s="42"/>
      <c r="F34" s="12"/>
      <c r="G34" s="42"/>
      <c r="H34" s="42"/>
      <c r="I34" s="42"/>
      <c r="J34" s="42"/>
      <c r="K34" s="42"/>
      <c r="L34" s="34"/>
      <c r="M34" s="135"/>
      <c r="N34" s="136"/>
      <c r="O34" s="8">
        <f t="shared" si="15"/>
        <v>0</v>
      </c>
      <c r="P34" s="9">
        <f t="shared" ref="P34:P38" si="16">IF(Q34&gt;1,Q34,0)</f>
        <v>0</v>
      </c>
      <c r="Q34" s="9">
        <f t="shared" ref="Q34:Q38" si="17">IF(C34&gt;2000,B34*30,B34*15)</f>
        <v>0</v>
      </c>
      <c r="R34" s="4"/>
      <c r="S34" s="4">
        <f t="shared" ref="S34:S77" si="18">VLOOKUP(L34,$W$32:$X$34,2,TRUE)</f>
        <v>100</v>
      </c>
      <c r="T34" s="4">
        <f t="shared" ref="T34:T76" si="19">IF(C34&gt;0,S34,0)</f>
        <v>0</v>
      </c>
      <c r="U34" s="4"/>
      <c r="V34" s="4"/>
      <c r="W34" s="4">
        <v>100000</v>
      </c>
      <c r="X34" s="4">
        <v>200</v>
      </c>
      <c r="Y34" s="4"/>
      <c r="Z34" s="4"/>
      <c r="AA34" s="4"/>
      <c r="AB34" s="4"/>
      <c r="AC34" s="4"/>
      <c r="AD34" s="4"/>
      <c r="AE34" s="4"/>
      <c r="AF34" s="4"/>
      <c r="AG34" s="4"/>
      <c r="AM34" s="5" t="s">
        <v>141</v>
      </c>
      <c r="AN34" s="6" t="s">
        <v>142</v>
      </c>
      <c r="AO34" s="1">
        <v>1</v>
      </c>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row>
    <row r="35" spans="1:142" ht="21.75" customHeight="1" x14ac:dyDescent="0.2">
      <c r="A35" s="98"/>
      <c r="B35" s="10"/>
      <c r="C35" s="11"/>
      <c r="D35" s="11"/>
      <c r="E35" s="42"/>
      <c r="F35" s="12"/>
      <c r="G35" s="42"/>
      <c r="H35" s="42"/>
      <c r="I35" s="42"/>
      <c r="J35" s="42"/>
      <c r="K35" s="42"/>
      <c r="L35" s="34">
        <f>+IF(F35=$AB$5,W104,(IF(A35=$X$8,W104,0)))</f>
        <v>0</v>
      </c>
      <c r="M35" s="135"/>
      <c r="N35" s="136"/>
      <c r="O35" s="8">
        <f>IF(C35&gt;0,VLOOKUP(F35,$AB$5:$AC$8,2,FALSE),0)</f>
        <v>0</v>
      </c>
      <c r="P35" s="9">
        <f t="shared" si="16"/>
        <v>0</v>
      </c>
      <c r="Q35" s="9">
        <f t="shared" si="17"/>
        <v>0</v>
      </c>
      <c r="R35" s="4"/>
      <c r="S35" s="4">
        <f t="shared" si="18"/>
        <v>100</v>
      </c>
      <c r="T35" s="4">
        <f t="shared" si="19"/>
        <v>0</v>
      </c>
      <c r="U35" s="4"/>
      <c r="V35" s="4"/>
      <c r="W35" s="4"/>
      <c r="X35" s="4"/>
      <c r="Y35" s="4"/>
      <c r="Z35" s="4"/>
      <c r="AA35" s="4"/>
      <c r="AB35" s="4"/>
      <c r="AC35" s="4"/>
      <c r="AD35" s="4"/>
      <c r="AE35" s="4"/>
      <c r="AF35" s="4"/>
      <c r="AG35" s="4"/>
      <c r="AM35" s="5" t="s">
        <v>143</v>
      </c>
      <c r="AN35" s="6" t="s">
        <v>144</v>
      </c>
      <c r="AO35" s="1">
        <v>1</v>
      </c>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row>
    <row r="36" spans="1:142" ht="21.75" customHeight="1" x14ac:dyDescent="0.2">
      <c r="A36" s="98"/>
      <c r="B36" s="10"/>
      <c r="C36" s="11"/>
      <c r="D36" s="11"/>
      <c r="E36" s="42"/>
      <c r="F36" s="12"/>
      <c r="G36" s="42"/>
      <c r="H36" s="42"/>
      <c r="I36" s="42"/>
      <c r="J36" s="42"/>
      <c r="K36" s="42"/>
      <c r="L36" s="34">
        <f>+IF(F36=$AB$5,W105,(IF(A36=$X$8,W105,0)))</f>
        <v>0</v>
      </c>
      <c r="M36" s="135"/>
      <c r="N36" s="136"/>
      <c r="O36" s="8">
        <f>IF(C36&gt;0,VLOOKUP(F36,$AB$5:$AC$8,2,FALSE),0)</f>
        <v>0</v>
      </c>
      <c r="P36" s="9">
        <f t="shared" si="16"/>
        <v>0</v>
      </c>
      <c r="Q36" s="9">
        <f t="shared" si="17"/>
        <v>0</v>
      </c>
      <c r="R36" s="4"/>
      <c r="S36" s="4">
        <f t="shared" si="18"/>
        <v>100</v>
      </c>
      <c r="T36" s="4">
        <f t="shared" si="19"/>
        <v>0</v>
      </c>
      <c r="U36" s="4"/>
      <c r="V36" s="4"/>
      <c r="W36" s="4"/>
      <c r="X36" s="4"/>
      <c r="Y36" s="4"/>
      <c r="Z36" s="4"/>
      <c r="AA36" s="4"/>
      <c r="AB36" s="4"/>
      <c r="AC36" s="4"/>
      <c r="AD36" s="4"/>
      <c r="AE36" s="4"/>
      <c r="AF36" s="4"/>
      <c r="AG36" s="4"/>
      <c r="AM36" s="5" t="s">
        <v>145</v>
      </c>
      <c r="AN36" s="6" t="s">
        <v>146</v>
      </c>
      <c r="AO36" s="1">
        <v>2</v>
      </c>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row>
    <row r="37" spans="1:142" ht="21.75" customHeight="1" x14ac:dyDescent="0.2">
      <c r="A37" s="98"/>
      <c r="B37" s="10"/>
      <c r="C37" s="11"/>
      <c r="D37" s="11"/>
      <c r="E37" s="42"/>
      <c r="F37" s="12"/>
      <c r="G37" s="42"/>
      <c r="H37" s="42"/>
      <c r="I37" s="42"/>
      <c r="J37" s="42"/>
      <c r="K37" s="42"/>
      <c r="L37" s="34"/>
      <c r="M37" s="135"/>
      <c r="N37" s="136"/>
      <c r="O37" s="8">
        <f t="shared" si="15"/>
        <v>0</v>
      </c>
      <c r="P37" s="9">
        <f t="shared" si="16"/>
        <v>0</v>
      </c>
      <c r="Q37" s="9">
        <f t="shared" si="17"/>
        <v>0</v>
      </c>
      <c r="R37" s="4"/>
      <c r="S37" s="4">
        <f t="shared" si="18"/>
        <v>100</v>
      </c>
      <c r="T37" s="4">
        <f t="shared" si="19"/>
        <v>0</v>
      </c>
      <c r="U37" s="4"/>
      <c r="V37" s="4"/>
      <c r="W37" s="4"/>
      <c r="X37" s="4"/>
      <c r="Y37" s="4"/>
      <c r="Z37" s="4"/>
      <c r="AA37" s="4"/>
      <c r="AB37" s="4"/>
      <c r="AC37" s="4"/>
      <c r="AD37" s="4"/>
      <c r="AE37" s="4"/>
      <c r="AM37" s="5" t="s">
        <v>147</v>
      </c>
      <c r="AN37" s="6" t="s">
        <v>148</v>
      </c>
      <c r="AO37" s="1">
        <v>1</v>
      </c>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row>
    <row r="38" spans="1:142" ht="21" customHeight="1" x14ac:dyDescent="0.2">
      <c r="A38" s="98"/>
      <c r="B38" s="10"/>
      <c r="C38" s="11"/>
      <c r="D38" s="11"/>
      <c r="E38" s="42"/>
      <c r="F38" s="12"/>
      <c r="G38" s="42"/>
      <c r="H38" s="42"/>
      <c r="I38" s="42"/>
      <c r="J38" s="42"/>
      <c r="K38" s="42"/>
      <c r="L38" s="34">
        <f t="shared" si="14"/>
        <v>0</v>
      </c>
      <c r="M38" s="135"/>
      <c r="N38" s="136"/>
      <c r="O38" s="8">
        <f t="shared" si="15"/>
        <v>0</v>
      </c>
      <c r="P38" s="9">
        <f t="shared" si="16"/>
        <v>0</v>
      </c>
      <c r="Q38" s="9">
        <f t="shared" si="17"/>
        <v>0</v>
      </c>
      <c r="R38" s="4"/>
      <c r="S38" s="4">
        <f t="shared" si="18"/>
        <v>100</v>
      </c>
      <c r="T38" s="4">
        <f t="shared" si="19"/>
        <v>0</v>
      </c>
      <c r="U38" s="4"/>
      <c r="V38" s="4"/>
      <c r="W38" s="4"/>
      <c r="X38" s="4"/>
      <c r="Y38" s="4"/>
      <c r="Z38" s="4"/>
      <c r="AA38" s="4"/>
      <c r="AB38" s="4"/>
      <c r="AC38" s="4"/>
      <c r="AD38" s="4"/>
      <c r="AE38" s="4"/>
      <c r="AM38" s="5" t="s">
        <v>149</v>
      </c>
      <c r="AN38" s="6" t="s">
        <v>150</v>
      </c>
      <c r="AO38" s="1">
        <v>2</v>
      </c>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row>
    <row r="39" spans="1:142" ht="70.900000000000006" customHeight="1" x14ac:dyDescent="0.2">
      <c r="A39" s="137" t="s">
        <v>151</v>
      </c>
      <c r="B39" s="153"/>
      <c r="C39" s="153"/>
      <c r="D39" s="153"/>
      <c r="E39" s="153"/>
      <c r="F39" s="153"/>
      <c r="G39" s="153"/>
      <c r="H39" s="153"/>
      <c r="I39" s="153"/>
      <c r="J39" s="153"/>
      <c r="K39" s="153"/>
      <c r="L39" s="153"/>
      <c r="M39" s="153"/>
      <c r="N39" s="154"/>
      <c r="W39" s="1">
        <v>1</v>
      </c>
      <c r="X39" s="4" t="s">
        <v>62</v>
      </c>
      <c r="AF39" s="1" t="s">
        <v>63</v>
      </c>
      <c r="AM39" s="5"/>
      <c r="AN39" s="6"/>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row>
    <row r="40" spans="1:142" ht="89.25" customHeight="1" x14ac:dyDescent="0.2">
      <c r="A40" s="99"/>
      <c r="B40" s="43" t="s">
        <v>152</v>
      </c>
      <c r="C40" s="87" t="s">
        <v>70</v>
      </c>
      <c r="D40" s="87" t="s">
        <v>71</v>
      </c>
      <c r="E40" s="87" t="s">
        <v>134</v>
      </c>
      <c r="F40" s="43" t="s">
        <v>630</v>
      </c>
      <c r="G40" s="43" t="s">
        <v>629</v>
      </c>
      <c r="H40" s="43" t="s">
        <v>631</v>
      </c>
      <c r="I40" s="87" t="s">
        <v>153</v>
      </c>
      <c r="J40" s="43" t="s">
        <v>154</v>
      </c>
      <c r="K40" s="87" t="s">
        <v>155</v>
      </c>
      <c r="L40" s="87" t="s">
        <v>78</v>
      </c>
      <c r="M40" s="140" t="s">
        <v>79</v>
      </c>
      <c r="N40" s="141"/>
      <c r="O40" s="8">
        <f>SUM(O14:O38)</f>
        <v>0</v>
      </c>
      <c r="W40" s="4">
        <v>0</v>
      </c>
      <c r="X40" s="4">
        <v>100</v>
      </c>
      <c r="AM40" s="5"/>
      <c r="AN40" s="6"/>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row>
    <row r="41" spans="1:142" ht="21.75" customHeight="1" x14ac:dyDescent="0.2">
      <c r="A41" s="98"/>
      <c r="B41" s="10"/>
      <c r="C41" s="11"/>
      <c r="D41" s="11"/>
      <c r="E41" s="42"/>
      <c r="F41" s="42"/>
      <c r="G41" s="42"/>
      <c r="H41" s="42"/>
      <c r="I41" s="42"/>
      <c r="J41" s="42"/>
      <c r="K41" s="42"/>
      <c r="L41" s="34">
        <f t="shared" ref="L41:L50" si="20">IF(C41&gt;1,B41*O41,0)</f>
        <v>0</v>
      </c>
      <c r="M41" s="135"/>
      <c r="N41" s="136"/>
      <c r="O41" s="8">
        <f>VLOOKUP(C41,$U$44:$V$48,2,TRUE)</f>
        <v>152</v>
      </c>
      <c r="P41" s="9">
        <f>IF(Q41&gt;1,B41*Q41,0)</f>
        <v>0</v>
      </c>
      <c r="Q41" s="9">
        <f t="shared" ref="Q41:Q50" si="21">IF(C41&gt;1,VLOOKUP(A41,$A$161:$C$162,3,FALSE),0)</f>
        <v>0</v>
      </c>
      <c r="R41" s="4"/>
      <c r="S41" s="4"/>
      <c r="T41" s="4"/>
      <c r="U41" s="4"/>
      <c r="V41" s="4"/>
      <c r="W41" s="4"/>
      <c r="X41" s="4"/>
      <c r="Y41" s="4"/>
      <c r="Z41" s="4"/>
      <c r="AA41" s="4"/>
      <c r="AB41" s="4"/>
      <c r="AC41" s="4"/>
      <c r="AD41" s="4"/>
      <c r="AE41" s="4"/>
      <c r="AM41" s="5"/>
      <c r="AN41" s="6"/>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row>
    <row r="42" spans="1:142" ht="21.75" customHeight="1" x14ac:dyDescent="0.2">
      <c r="A42" s="98"/>
      <c r="B42" s="10"/>
      <c r="C42" s="11"/>
      <c r="D42" s="11"/>
      <c r="E42" s="42"/>
      <c r="F42" s="42"/>
      <c r="G42" s="42"/>
      <c r="H42" s="42"/>
      <c r="I42" s="42"/>
      <c r="J42" s="42"/>
      <c r="K42" s="42"/>
      <c r="L42" s="34">
        <f t="shared" si="20"/>
        <v>0</v>
      </c>
      <c r="M42" s="135"/>
      <c r="N42" s="136"/>
      <c r="O42" s="8">
        <f t="shared" ref="O42:O50" si="22">VLOOKUP(C42,$U$44:$V$48,2,TRUE)</f>
        <v>152</v>
      </c>
      <c r="P42" s="9">
        <f t="shared" ref="P42:P50" si="23">IF(Q42&gt;1,B42*Q42,0)</f>
        <v>0</v>
      </c>
      <c r="Q42" s="9">
        <f t="shared" si="21"/>
        <v>0</v>
      </c>
      <c r="R42" s="4"/>
      <c r="S42" s="4"/>
      <c r="T42" s="4"/>
      <c r="U42" s="4"/>
      <c r="V42" s="4"/>
      <c r="W42" s="4"/>
      <c r="X42" s="4"/>
      <c r="Y42" s="4"/>
      <c r="Z42" s="4"/>
      <c r="AA42" s="4"/>
      <c r="AB42" s="4"/>
      <c r="AC42" s="4"/>
      <c r="AD42" s="4"/>
      <c r="AE42" s="4"/>
      <c r="AM42" s="5"/>
      <c r="AN42" s="6"/>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row>
    <row r="43" spans="1:142" ht="21.75" customHeight="1" x14ac:dyDescent="0.2">
      <c r="A43" s="98"/>
      <c r="B43" s="10"/>
      <c r="C43" s="11"/>
      <c r="D43" s="11"/>
      <c r="E43" s="42"/>
      <c r="F43" s="42"/>
      <c r="G43" s="42"/>
      <c r="H43" s="42"/>
      <c r="I43" s="42"/>
      <c r="J43" s="42"/>
      <c r="K43" s="42"/>
      <c r="L43" s="34">
        <f t="shared" si="20"/>
        <v>0</v>
      </c>
      <c r="M43" s="135"/>
      <c r="N43" s="136"/>
      <c r="O43" s="8">
        <f t="shared" si="22"/>
        <v>152</v>
      </c>
      <c r="P43" s="9">
        <f t="shared" si="23"/>
        <v>0</v>
      </c>
      <c r="Q43" s="9">
        <f t="shared" si="21"/>
        <v>0</v>
      </c>
      <c r="R43" s="4"/>
      <c r="S43" s="4"/>
      <c r="T43" s="4"/>
      <c r="U43" s="4"/>
      <c r="V43" s="4"/>
      <c r="W43" s="4"/>
      <c r="X43" s="4"/>
      <c r="Y43" s="4"/>
      <c r="Z43" s="4"/>
      <c r="AA43" s="4"/>
      <c r="AB43" s="4"/>
      <c r="AC43" s="4"/>
      <c r="AD43" s="4"/>
      <c r="AE43" s="4"/>
      <c r="AM43" s="5"/>
      <c r="AN43" s="6"/>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row>
    <row r="44" spans="1:142" ht="21.75" customHeight="1" x14ac:dyDescent="0.25">
      <c r="A44" s="98"/>
      <c r="B44" s="10"/>
      <c r="C44" s="11"/>
      <c r="D44" s="11"/>
      <c r="E44" s="42"/>
      <c r="F44" s="42"/>
      <c r="G44" s="42"/>
      <c r="H44" s="42"/>
      <c r="I44" s="42"/>
      <c r="J44" s="42"/>
      <c r="K44" s="42"/>
      <c r="L44" s="34">
        <f t="shared" si="20"/>
        <v>0</v>
      </c>
      <c r="M44" s="135"/>
      <c r="N44" s="136"/>
      <c r="O44" s="8">
        <f t="shared" si="22"/>
        <v>152</v>
      </c>
      <c r="P44" s="9">
        <f t="shared" si="23"/>
        <v>0</v>
      </c>
      <c r="Q44" s="9">
        <f t="shared" si="21"/>
        <v>0</v>
      </c>
      <c r="R44" s="4"/>
      <c r="S44" s="4"/>
      <c r="T44" s="4"/>
      <c r="U44">
        <v>0</v>
      </c>
      <c r="V44">
        <v>152</v>
      </c>
      <c r="W44" s="4"/>
      <c r="X44" s="4"/>
      <c r="Y44" s="4"/>
      <c r="Z44" s="4"/>
      <c r="AA44" s="4"/>
      <c r="AB44" s="4"/>
      <c r="AC44" s="4"/>
      <c r="AD44" s="4"/>
      <c r="AE44" s="4"/>
      <c r="AM44" s="5"/>
      <c r="AN44" s="6"/>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row>
    <row r="45" spans="1:142" ht="21.75" customHeight="1" x14ac:dyDescent="0.25">
      <c r="A45" s="98"/>
      <c r="B45" s="10"/>
      <c r="C45" s="11"/>
      <c r="D45" s="11"/>
      <c r="E45" s="42"/>
      <c r="F45" s="42"/>
      <c r="G45" s="42"/>
      <c r="H45" s="42"/>
      <c r="I45" s="42"/>
      <c r="J45" s="42"/>
      <c r="K45" s="42"/>
      <c r="L45" s="34">
        <f t="shared" si="20"/>
        <v>0</v>
      </c>
      <c r="M45" s="135"/>
      <c r="N45" s="136"/>
      <c r="O45" s="8">
        <f t="shared" si="22"/>
        <v>152</v>
      </c>
      <c r="P45" s="9">
        <f t="shared" si="23"/>
        <v>0</v>
      </c>
      <c r="Q45" s="9">
        <f t="shared" si="21"/>
        <v>0</v>
      </c>
      <c r="R45" s="4"/>
      <c r="S45" s="4"/>
      <c r="T45" s="4"/>
      <c r="U45">
        <v>1200</v>
      </c>
      <c r="V45">
        <v>152</v>
      </c>
      <c r="W45" s="4"/>
      <c r="X45" s="4"/>
      <c r="Y45" s="4"/>
      <c r="Z45" s="4"/>
      <c r="AA45" s="4"/>
      <c r="AB45" s="4"/>
      <c r="AC45" s="4"/>
      <c r="AD45" s="4"/>
      <c r="AE45" s="4"/>
      <c r="AM45" s="5"/>
      <c r="AN45" s="6"/>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row>
    <row r="46" spans="1:142" ht="21.75" customHeight="1" x14ac:dyDescent="0.25">
      <c r="A46" s="98"/>
      <c r="B46" s="10"/>
      <c r="C46" s="11"/>
      <c r="D46" s="11"/>
      <c r="E46" s="42"/>
      <c r="F46" s="42"/>
      <c r="G46" s="42"/>
      <c r="H46" s="42"/>
      <c r="I46" s="42"/>
      <c r="J46" s="42"/>
      <c r="K46" s="42"/>
      <c r="L46" s="34">
        <f t="shared" si="20"/>
        <v>0</v>
      </c>
      <c r="M46" s="135"/>
      <c r="N46" s="136"/>
      <c r="O46" s="8">
        <f t="shared" si="22"/>
        <v>152</v>
      </c>
      <c r="P46" s="9">
        <f t="shared" si="23"/>
        <v>0</v>
      </c>
      <c r="Q46" s="9">
        <f t="shared" si="21"/>
        <v>0</v>
      </c>
      <c r="R46" s="4"/>
      <c r="S46" s="4"/>
      <c r="T46" s="4"/>
      <c r="U46">
        <v>1201</v>
      </c>
      <c r="V46">
        <v>273</v>
      </c>
      <c r="W46" s="4"/>
      <c r="X46" s="4"/>
      <c r="Y46" s="4"/>
      <c r="Z46" s="4"/>
      <c r="AA46" s="4"/>
      <c r="AB46" s="4"/>
      <c r="AC46" s="4"/>
      <c r="AD46" s="4"/>
      <c r="AE46" s="4"/>
      <c r="AM46" s="5"/>
      <c r="AN46" s="6"/>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row>
    <row r="47" spans="1:142" ht="21.75" customHeight="1" x14ac:dyDescent="0.25">
      <c r="A47" s="98"/>
      <c r="B47" s="10"/>
      <c r="C47" s="11"/>
      <c r="D47" s="11"/>
      <c r="E47" s="42"/>
      <c r="F47" s="42"/>
      <c r="G47" s="42"/>
      <c r="H47" s="42"/>
      <c r="I47" s="42"/>
      <c r="J47" s="42"/>
      <c r="K47" s="42"/>
      <c r="L47" s="34">
        <f t="shared" si="20"/>
        <v>0</v>
      </c>
      <c r="M47" s="135"/>
      <c r="N47" s="136"/>
      <c r="O47" s="8">
        <f t="shared" si="22"/>
        <v>152</v>
      </c>
      <c r="P47" s="9">
        <f t="shared" si="23"/>
        <v>0</v>
      </c>
      <c r="Q47" s="9">
        <f t="shared" si="21"/>
        <v>0</v>
      </c>
      <c r="R47" s="4"/>
      <c r="S47" s="4"/>
      <c r="T47" s="4"/>
      <c r="U47">
        <v>2440</v>
      </c>
      <c r="V47">
        <v>273</v>
      </c>
      <c r="W47" s="4"/>
      <c r="X47" s="4"/>
      <c r="Y47" s="4"/>
      <c r="Z47" s="4"/>
      <c r="AA47" s="4"/>
      <c r="AB47" s="4"/>
      <c r="AC47" s="4"/>
      <c r="AD47" s="4"/>
      <c r="AE47" s="4"/>
      <c r="AM47" s="5"/>
      <c r="AN47" s="6"/>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row>
    <row r="48" spans="1:142" ht="21.75" customHeight="1" x14ac:dyDescent="0.25">
      <c r="A48" s="98"/>
      <c r="B48" s="10"/>
      <c r="C48" s="11"/>
      <c r="D48" s="11"/>
      <c r="E48" s="42"/>
      <c r="F48" s="42"/>
      <c r="G48" s="42"/>
      <c r="H48" s="42"/>
      <c r="I48" s="42"/>
      <c r="J48" s="42"/>
      <c r="K48" s="42"/>
      <c r="L48" s="34">
        <f t="shared" si="20"/>
        <v>0</v>
      </c>
      <c r="M48" s="135"/>
      <c r="N48" s="136"/>
      <c r="O48" s="8">
        <f t="shared" si="22"/>
        <v>152</v>
      </c>
      <c r="P48" s="9">
        <f t="shared" si="23"/>
        <v>0</v>
      </c>
      <c r="Q48" s="9">
        <f t="shared" si="21"/>
        <v>0</v>
      </c>
      <c r="R48" s="4"/>
      <c r="S48" s="4"/>
      <c r="T48" s="4"/>
      <c r="U48">
        <v>2441</v>
      </c>
      <c r="V48">
        <v>0</v>
      </c>
      <c r="W48" s="4"/>
      <c r="X48" s="4"/>
      <c r="Y48" s="4"/>
      <c r="Z48" s="4"/>
      <c r="AA48" s="4"/>
      <c r="AB48" s="4"/>
      <c r="AC48" s="4"/>
      <c r="AD48" s="4"/>
      <c r="AE48" s="4"/>
      <c r="AM48" s="5"/>
      <c r="AN48" s="6"/>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row>
    <row r="49" spans="1:142" ht="21.75" customHeight="1" x14ac:dyDescent="0.2">
      <c r="A49" s="98"/>
      <c r="B49" s="10"/>
      <c r="C49" s="11"/>
      <c r="D49" s="11"/>
      <c r="E49" s="42"/>
      <c r="F49" s="42"/>
      <c r="G49" s="42"/>
      <c r="H49" s="42"/>
      <c r="I49" s="42"/>
      <c r="J49" s="42"/>
      <c r="K49" s="42"/>
      <c r="L49" s="34">
        <f t="shared" si="20"/>
        <v>0</v>
      </c>
      <c r="M49" s="135"/>
      <c r="N49" s="136"/>
      <c r="O49" s="8">
        <f t="shared" si="22"/>
        <v>152</v>
      </c>
      <c r="P49" s="9">
        <f t="shared" si="23"/>
        <v>0</v>
      </c>
      <c r="Q49" s="9">
        <f t="shared" si="21"/>
        <v>0</v>
      </c>
      <c r="R49" s="4"/>
      <c r="S49" s="4"/>
      <c r="T49" s="4"/>
      <c r="U49" s="4"/>
      <c r="V49" s="4"/>
      <c r="W49" s="4"/>
      <c r="X49" s="4"/>
      <c r="Y49" s="4"/>
      <c r="Z49" s="4"/>
      <c r="AA49" s="4"/>
      <c r="AB49" s="4"/>
      <c r="AC49" s="4"/>
      <c r="AD49" s="4"/>
      <c r="AE49" s="4"/>
      <c r="AM49" s="5"/>
      <c r="AN49" s="6"/>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row>
    <row r="50" spans="1:142" ht="21.75" customHeight="1" x14ac:dyDescent="0.2">
      <c r="A50" s="98"/>
      <c r="B50" s="10"/>
      <c r="C50" s="11"/>
      <c r="D50" s="11"/>
      <c r="E50" s="42"/>
      <c r="F50" s="42"/>
      <c r="G50" s="42"/>
      <c r="H50" s="42"/>
      <c r="I50" s="42"/>
      <c r="J50" s="42"/>
      <c r="K50" s="42"/>
      <c r="L50" s="34">
        <f t="shared" si="20"/>
        <v>0</v>
      </c>
      <c r="M50" s="135"/>
      <c r="N50" s="136"/>
      <c r="O50" s="8">
        <f t="shared" si="22"/>
        <v>152</v>
      </c>
      <c r="P50" s="9">
        <f t="shared" si="23"/>
        <v>0</v>
      </c>
      <c r="Q50" s="9">
        <f t="shared" si="21"/>
        <v>0</v>
      </c>
      <c r="R50" s="4"/>
      <c r="S50" s="4"/>
      <c r="T50" s="4"/>
      <c r="U50" s="4"/>
      <c r="V50" s="4"/>
      <c r="W50" s="4"/>
      <c r="X50" s="4"/>
      <c r="Y50" s="4"/>
      <c r="Z50" s="4"/>
      <c r="AA50" s="4"/>
      <c r="AB50" s="4"/>
      <c r="AC50" s="4"/>
      <c r="AD50" s="4"/>
      <c r="AE50" s="4"/>
      <c r="AM50" s="5"/>
      <c r="AN50" s="6"/>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row>
    <row r="51" spans="1:142" ht="70.900000000000006" customHeight="1" x14ac:dyDescent="0.2">
      <c r="A51" s="137" t="s">
        <v>156</v>
      </c>
      <c r="B51" s="138"/>
      <c r="C51" s="138"/>
      <c r="D51" s="138"/>
      <c r="E51" s="138"/>
      <c r="F51" s="138"/>
      <c r="G51" s="138"/>
      <c r="H51" s="138"/>
      <c r="I51" s="138"/>
      <c r="J51" s="138"/>
      <c r="K51" s="138"/>
      <c r="L51" s="138"/>
      <c r="M51" s="138"/>
      <c r="N51" s="139"/>
      <c r="W51" s="1">
        <v>1</v>
      </c>
      <c r="X51" s="4" t="s">
        <v>62</v>
      </c>
      <c r="AF51" s="1" t="s">
        <v>63</v>
      </c>
      <c r="AM51" s="5"/>
      <c r="AN51" s="6"/>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row>
    <row r="52" spans="1:142" ht="89.25" customHeight="1" x14ac:dyDescent="0.2">
      <c r="A52" s="99" t="s">
        <v>68</v>
      </c>
      <c r="B52" s="43" t="s">
        <v>152</v>
      </c>
      <c r="C52" s="87" t="s">
        <v>157</v>
      </c>
      <c r="D52" s="87" t="s">
        <v>71</v>
      </c>
      <c r="E52" s="87" t="s">
        <v>134</v>
      </c>
      <c r="F52" s="43" t="s">
        <v>630</v>
      </c>
      <c r="G52" s="43" t="s">
        <v>629</v>
      </c>
      <c r="H52" s="43" t="s">
        <v>631</v>
      </c>
      <c r="I52" s="87" t="s">
        <v>153</v>
      </c>
      <c r="J52" s="43" t="s">
        <v>154</v>
      </c>
      <c r="K52" s="87" t="s">
        <v>155</v>
      </c>
      <c r="L52" s="87" t="s">
        <v>78</v>
      </c>
      <c r="M52" s="140" t="s">
        <v>79</v>
      </c>
      <c r="N52" s="141"/>
      <c r="O52" s="7"/>
      <c r="W52" s="4">
        <v>0</v>
      </c>
      <c r="X52" s="4">
        <v>100</v>
      </c>
      <c r="AM52" s="5"/>
      <c r="AN52" s="6"/>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row>
    <row r="53" spans="1:142" ht="21.75" customHeight="1" x14ac:dyDescent="0.2">
      <c r="A53" s="98"/>
      <c r="B53" s="10"/>
      <c r="C53" s="11"/>
      <c r="D53" s="11"/>
      <c r="E53" s="42"/>
      <c r="F53" s="42"/>
      <c r="G53" s="42"/>
      <c r="H53" s="42"/>
      <c r="I53" s="42"/>
      <c r="J53" s="42"/>
      <c r="K53" s="42"/>
      <c r="L53" s="34">
        <f t="shared" ref="L53:L62" si="24">IF(C53&gt;1,B53*O53,0)</f>
        <v>0</v>
      </c>
      <c r="M53" s="135"/>
      <c r="N53" s="136"/>
      <c r="O53" s="8">
        <f>VLOOKUP(D53,$U$66:$V$72,2,TRUE)</f>
        <v>80</v>
      </c>
      <c r="P53" s="9">
        <f>IF(Q53&gt;1,B53*Q53,0)</f>
        <v>0</v>
      </c>
      <c r="Q53" s="9">
        <f t="shared" ref="Q53:Q62" si="25">IF(C53&gt;1,VLOOKUP(A53,$A$167:$C$169,3,FALSE),0)</f>
        <v>0</v>
      </c>
      <c r="R53" s="4"/>
      <c r="S53" s="4"/>
      <c r="T53" s="4"/>
      <c r="U53" s="4"/>
      <c r="V53" s="4"/>
      <c r="W53" s="4"/>
      <c r="X53" s="4"/>
      <c r="Y53" s="4"/>
      <c r="Z53" s="4"/>
      <c r="AA53" s="4"/>
      <c r="AB53" s="4"/>
      <c r="AC53" s="4"/>
      <c r="AD53" s="4"/>
      <c r="AE53" s="4"/>
      <c r="AM53" s="5"/>
      <c r="AN53" s="6"/>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row>
    <row r="54" spans="1:142" ht="21.75" customHeight="1" x14ac:dyDescent="0.2">
      <c r="A54" s="98"/>
      <c r="B54" s="10"/>
      <c r="C54" s="11"/>
      <c r="D54" s="11"/>
      <c r="E54" s="42"/>
      <c r="F54" s="42"/>
      <c r="G54" s="42"/>
      <c r="H54" s="42"/>
      <c r="I54" s="42"/>
      <c r="J54" s="42"/>
      <c r="K54" s="42"/>
      <c r="L54" s="34">
        <f t="shared" si="24"/>
        <v>0</v>
      </c>
      <c r="M54" s="135"/>
      <c r="N54" s="136"/>
      <c r="O54" s="8">
        <f t="shared" ref="O54:O62" si="26">VLOOKUP(D54,$U$66:$V$72,2,TRUE)</f>
        <v>80</v>
      </c>
      <c r="P54" s="9">
        <f t="shared" ref="P54:P62" si="27">IF(Q54&gt;1,B54*Q54,0)</f>
        <v>0</v>
      </c>
      <c r="Q54" s="9">
        <f t="shared" si="25"/>
        <v>0</v>
      </c>
      <c r="R54" s="4"/>
      <c r="S54" s="4"/>
      <c r="T54" s="4"/>
      <c r="U54" s="4"/>
      <c r="V54" s="4"/>
      <c r="W54" s="4"/>
      <c r="X54" s="4"/>
      <c r="Y54" s="4"/>
      <c r="Z54" s="4"/>
      <c r="AA54" s="4"/>
      <c r="AB54" s="4"/>
      <c r="AC54" s="4"/>
      <c r="AD54" s="4"/>
      <c r="AE54" s="4"/>
      <c r="AM54" s="5"/>
      <c r="AN54" s="6"/>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row>
    <row r="55" spans="1:142" ht="21.75" customHeight="1" x14ac:dyDescent="0.2">
      <c r="A55" s="98"/>
      <c r="B55" s="10"/>
      <c r="C55" s="11"/>
      <c r="D55" s="11"/>
      <c r="E55" s="42"/>
      <c r="F55" s="42"/>
      <c r="G55" s="42"/>
      <c r="H55" s="42"/>
      <c r="I55" s="42"/>
      <c r="J55" s="42"/>
      <c r="K55" s="42"/>
      <c r="L55" s="34">
        <f t="shared" si="24"/>
        <v>0</v>
      </c>
      <c r="M55" s="135"/>
      <c r="N55" s="136"/>
      <c r="O55" s="8">
        <f t="shared" si="26"/>
        <v>80</v>
      </c>
      <c r="P55" s="9">
        <f t="shared" si="27"/>
        <v>0</v>
      </c>
      <c r="Q55" s="9">
        <f t="shared" si="25"/>
        <v>0</v>
      </c>
      <c r="R55" s="4"/>
      <c r="S55" s="4"/>
      <c r="T55" s="4"/>
      <c r="U55" s="4"/>
      <c r="V55" s="4"/>
      <c r="W55" s="4"/>
      <c r="X55" s="4"/>
      <c r="Y55" s="4"/>
      <c r="Z55" s="4"/>
      <c r="AA55" s="4"/>
      <c r="AB55" s="4"/>
      <c r="AC55" s="4"/>
      <c r="AD55" s="4"/>
      <c r="AE55" s="4"/>
      <c r="AM55" s="5"/>
      <c r="AN55" s="6"/>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row>
    <row r="56" spans="1:142" ht="21.75" customHeight="1" x14ac:dyDescent="0.2">
      <c r="A56" s="98"/>
      <c r="B56" s="10"/>
      <c r="C56" s="11"/>
      <c r="D56" s="11"/>
      <c r="E56" s="42"/>
      <c r="F56" s="42"/>
      <c r="G56" s="42"/>
      <c r="H56" s="42"/>
      <c r="I56" s="42"/>
      <c r="J56" s="42"/>
      <c r="K56" s="42"/>
      <c r="L56" s="34">
        <f t="shared" si="24"/>
        <v>0</v>
      </c>
      <c r="M56" s="135"/>
      <c r="N56" s="136"/>
      <c r="O56" s="8">
        <f t="shared" si="26"/>
        <v>80</v>
      </c>
      <c r="P56" s="9">
        <f t="shared" si="27"/>
        <v>0</v>
      </c>
      <c r="Q56" s="9">
        <f t="shared" si="25"/>
        <v>0</v>
      </c>
      <c r="R56" s="4"/>
      <c r="S56" s="4"/>
      <c r="T56" s="4"/>
      <c r="U56" s="4"/>
      <c r="V56" s="4"/>
      <c r="W56" s="4"/>
      <c r="X56" s="4"/>
      <c r="Y56" s="4"/>
      <c r="Z56" s="4"/>
      <c r="AA56" s="4"/>
      <c r="AB56" s="4"/>
      <c r="AC56" s="4"/>
      <c r="AD56" s="4"/>
      <c r="AE56" s="4"/>
      <c r="AM56" s="5"/>
      <c r="AN56" s="6"/>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row>
    <row r="57" spans="1:142" ht="21.75" customHeight="1" x14ac:dyDescent="0.2">
      <c r="A57" s="98"/>
      <c r="B57" s="10"/>
      <c r="C57" s="11"/>
      <c r="D57" s="11"/>
      <c r="E57" s="42"/>
      <c r="F57" s="42"/>
      <c r="G57" s="42"/>
      <c r="H57" s="42"/>
      <c r="I57" s="42"/>
      <c r="J57" s="42"/>
      <c r="K57" s="42"/>
      <c r="L57" s="34">
        <f t="shared" si="24"/>
        <v>0</v>
      </c>
      <c r="M57" s="135"/>
      <c r="N57" s="136"/>
      <c r="O57" s="8">
        <f t="shared" si="26"/>
        <v>80</v>
      </c>
      <c r="P57" s="9">
        <f t="shared" si="27"/>
        <v>0</v>
      </c>
      <c r="Q57" s="9">
        <f t="shared" si="25"/>
        <v>0</v>
      </c>
      <c r="R57" s="4"/>
      <c r="S57" s="4"/>
      <c r="T57" s="4"/>
      <c r="U57" s="4"/>
      <c r="V57" s="4"/>
      <c r="W57" s="4"/>
      <c r="X57" s="4"/>
      <c r="Y57" s="4"/>
      <c r="Z57" s="4"/>
      <c r="AA57" s="4"/>
      <c r="AB57" s="4"/>
      <c r="AC57" s="4"/>
      <c r="AD57" s="4"/>
      <c r="AE57" s="4"/>
      <c r="AM57" s="5"/>
      <c r="AN57" s="6"/>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row>
    <row r="58" spans="1:142" ht="21.75" customHeight="1" x14ac:dyDescent="0.2">
      <c r="A58" s="98"/>
      <c r="B58" s="10"/>
      <c r="C58" s="11"/>
      <c r="D58" s="11"/>
      <c r="E58" s="42"/>
      <c r="F58" s="42"/>
      <c r="G58" s="42"/>
      <c r="H58" s="42"/>
      <c r="I58" s="42"/>
      <c r="J58" s="42"/>
      <c r="K58" s="42"/>
      <c r="L58" s="34">
        <f t="shared" si="24"/>
        <v>0</v>
      </c>
      <c r="M58" s="135"/>
      <c r="N58" s="136"/>
      <c r="O58" s="8">
        <f t="shared" si="26"/>
        <v>80</v>
      </c>
      <c r="P58" s="9">
        <f t="shared" si="27"/>
        <v>0</v>
      </c>
      <c r="Q58" s="9">
        <f t="shared" si="25"/>
        <v>0</v>
      </c>
      <c r="R58" s="4"/>
      <c r="S58" s="4"/>
      <c r="T58" s="4"/>
      <c r="U58" s="4"/>
      <c r="V58" s="4"/>
      <c r="W58" s="4"/>
      <c r="X58" s="4"/>
      <c r="Y58" s="4"/>
      <c r="Z58" s="4"/>
      <c r="AA58" s="4"/>
      <c r="AB58" s="4"/>
      <c r="AC58" s="4"/>
      <c r="AD58" s="4"/>
      <c r="AE58" s="4"/>
      <c r="AM58" s="5"/>
      <c r="AN58" s="6"/>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row>
    <row r="59" spans="1:142" ht="21.75" customHeight="1" x14ac:dyDescent="0.2">
      <c r="A59" s="98"/>
      <c r="B59" s="10"/>
      <c r="C59" s="11"/>
      <c r="D59" s="11"/>
      <c r="E59" s="42"/>
      <c r="F59" s="42"/>
      <c r="G59" s="42"/>
      <c r="H59" s="42"/>
      <c r="I59" s="42"/>
      <c r="J59" s="42"/>
      <c r="K59" s="42"/>
      <c r="L59" s="34">
        <f t="shared" si="24"/>
        <v>0</v>
      </c>
      <c r="M59" s="135"/>
      <c r="N59" s="136"/>
      <c r="O59" s="8">
        <f t="shared" si="26"/>
        <v>80</v>
      </c>
      <c r="P59" s="9">
        <f t="shared" si="27"/>
        <v>0</v>
      </c>
      <c r="Q59" s="9">
        <f t="shared" si="25"/>
        <v>0</v>
      </c>
      <c r="R59" s="4"/>
      <c r="S59" s="4"/>
      <c r="T59" s="4"/>
      <c r="U59" s="4"/>
      <c r="V59" s="4"/>
      <c r="W59" s="4"/>
      <c r="X59" s="4"/>
      <c r="Y59" s="4"/>
      <c r="Z59" s="4"/>
      <c r="AA59" s="4"/>
      <c r="AB59" s="4"/>
      <c r="AC59" s="4"/>
      <c r="AD59" s="4"/>
      <c r="AE59" s="4"/>
      <c r="AM59" s="5"/>
      <c r="AN59" s="6"/>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row>
    <row r="60" spans="1:142" ht="21.75" customHeight="1" x14ac:dyDescent="0.2">
      <c r="A60" s="98"/>
      <c r="B60" s="10"/>
      <c r="C60" s="11"/>
      <c r="D60" s="11"/>
      <c r="E60" s="42"/>
      <c r="F60" s="42"/>
      <c r="G60" s="42"/>
      <c r="H60" s="42"/>
      <c r="I60" s="42"/>
      <c r="J60" s="42"/>
      <c r="K60" s="42"/>
      <c r="L60" s="34">
        <f t="shared" si="24"/>
        <v>0</v>
      </c>
      <c r="M60" s="135"/>
      <c r="N60" s="136"/>
      <c r="O60" s="8">
        <f t="shared" si="26"/>
        <v>80</v>
      </c>
      <c r="P60" s="9">
        <f t="shared" si="27"/>
        <v>0</v>
      </c>
      <c r="Q60" s="9">
        <f t="shared" si="25"/>
        <v>0</v>
      </c>
      <c r="R60" s="4"/>
      <c r="S60" s="4"/>
      <c r="T60" s="4"/>
      <c r="U60" s="4"/>
      <c r="V60" s="4"/>
      <c r="W60" s="4"/>
      <c r="X60" s="4"/>
      <c r="Y60" s="4"/>
      <c r="Z60" s="4"/>
      <c r="AA60" s="4"/>
      <c r="AB60" s="4"/>
      <c r="AC60" s="4"/>
      <c r="AD60" s="4"/>
      <c r="AE60" s="4"/>
      <c r="AM60" s="5"/>
      <c r="AN60" s="6"/>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row>
    <row r="61" spans="1:142" ht="21.75" customHeight="1" x14ac:dyDescent="0.2">
      <c r="A61" s="98"/>
      <c r="B61" s="10"/>
      <c r="C61" s="11"/>
      <c r="D61" s="11"/>
      <c r="E61" s="42"/>
      <c r="F61" s="42"/>
      <c r="G61" s="42"/>
      <c r="H61" s="42"/>
      <c r="I61" s="42"/>
      <c r="J61" s="42"/>
      <c r="K61" s="42"/>
      <c r="L61" s="34">
        <f t="shared" si="24"/>
        <v>0</v>
      </c>
      <c r="M61" s="135"/>
      <c r="N61" s="136"/>
      <c r="O61" s="8">
        <f t="shared" si="26"/>
        <v>80</v>
      </c>
      <c r="P61" s="9">
        <f t="shared" si="27"/>
        <v>0</v>
      </c>
      <c r="Q61" s="9">
        <f t="shared" si="25"/>
        <v>0</v>
      </c>
      <c r="R61" s="4"/>
      <c r="S61" s="4"/>
      <c r="T61" s="4"/>
      <c r="U61" s="4"/>
      <c r="V61" s="4"/>
      <c r="W61" s="4"/>
      <c r="X61" s="4"/>
      <c r="Y61" s="4"/>
      <c r="Z61" s="4"/>
      <c r="AA61" s="4"/>
      <c r="AB61" s="4"/>
      <c r="AC61" s="4"/>
      <c r="AD61" s="4"/>
      <c r="AE61" s="4"/>
      <c r="AM61" s="5"/>
      <c r="AN61" s="6"/>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row>
    <row r="62" spans="1:142" ht="21.75" customHeight="1" x14ac:dyDescent="0.2">
      <c r="A62" s="98"/>
      <c r="B62" s="10"/>
      <c r="C62" s="11"/>
      <c r="D62" s="11"/>
      <c r="E62" s="42"/>
      <c r="F62" s="42"/>
      <c r="G62" s="42"/>
      <c r="H62" s="42"/>
      <c r="I62" s="42"/>
      <c r="J62" s="42"/>
      <c r="K62" s="42"/>
      <c r="L62" s="34">
        <f t="shared" si="24"/>
        <v>0</v>
      </c>
      <c r="M62" s="135"/>
      <c r="N62" s="136"/>
      <c r="O62" s="8">
        <f t="shared" si="26"/>
        <v>80</v>
      </c>
      <c r="P62" s="9">
        <f t="shared" si="27"/>
        <v>0</v>
      </c>
      <c r="Q62" s="9">
        <f t="shared" si="25"/>
        <v>0</v>
      </c>
      <c r="R62" s="4"/>
      <c r="S62" s="4"/>
      <c r="T62" s="4"/>
      <c r="U62" s="4"/>
      <c r="V62" s="4"/>
      <c r="W62" s="4"/>
      <c r="X62" s="4"/>
      <c r="Y62" s="4"/>
      <c r="Z62" s="4"/>
      <c r="AA62" s="4"/>
      <c r="AB62" s="4"/>
      <c r="AC62" s="4"/>
      <c r="AD62" s="4"/>
      <c r="AE62" s="4"/>
      <c r="AM62" s="5"/>
      <c r="AN62" s="6"/>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row>
    <row r="63" spans="1:142" ht="72" customHeight="1" x14ac:dyDescent="0.2">
      <c r="A63" s="137" t="s">
        <v>158</v>
      </c>
      <c r="B63" s="138"/>
      <c r="C63" s="138"/>
      <c r="D63" s="138"/>
      <c r="E63" s="138"/>
      <c r="F63" s="138"/>
      <c r="G63" s="138"/>
      <c r="H63" s="138"/>
      <c r="I63" s="138"/>
      <c r="J63" s="138"/>
      <c r="K63" s="138"/>
      <c r="L63" s="138"/>
      <c r="M63" s="138"/>
      <c r="N63" s="139"/>
      <c r="R63" s="4"/>
      <c r="S63" s="4"/>
      <c r="T63" s="4"/>
      <c r="U63" s="4"/>
      <c r="V63" s="4"/>
      <c r="W63" s="4"/>
      <c r="X63" s="4"/>
      <c r="Y63" s="4"/>
      <c r="Z63" s="4"/>
      <c r="AA63" s="4"/>
      <c r="AB63" s="4"/>
      <c r="AC63" s="4"/>
      <c r="AD63" s="4"/>
      <c r="AE63" s="4"/>
      <c r="AM63" s="5"/>
      <c r="AN63" s="6"/>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ht="70.5" customHeight="1" x14ac:dyDescent="0.2">
      <c r="A64" s="99" t="s">
        <v>68</v>
      </c>
      <c r="B64" s="43" t="s">
        <v>152</v>
      </c>
      <c r="C64" s="87" t="s">
        <v>70</v>
      </c>
      <c r="D64" s="87" t="s">
        <v>159</v>
      </c>
      <c r="E64" s="87" t="s">
        <v>134</v>
      </c>
      <c r="F64" s="43" t="s">
        <v>630</v>
      </c>
      <c r="G64" s="43" t="s">
        <v>629</v>
      </c>
      <c r="H64" s="43" t="s">
        <v>631</v>
      </c>
      <c r="I64" s="87" t="s">
        <v>153</v>
      </c>
      <c r="J64" s="43" t="s">
        <v>154</v>
      </c>
      <c r="K64" s="87" t="s">
        <v>155</v>
      </c>
      <c r="L64" s="87" t="s">
        <v>78</v>
      </c>
      <c r="M64" s="140" t="s">
        <v>79</v>
      </c>
      <c r="N64" s="141"/>
      <c r="O64" s="7"/>
      <c r="R64" s="4"/>
      <c r="S64" s="4"/>
      <c r="T64" s="4"/>
      <c r="U64" s="4"/>
      <c r="V64" s="4"/>
      <c r="W64" s="4"/>
      <c r="X64" s="4"/>
      <c r="Y64" s="4"/>
      <c r="Z64" s="4"/>
      <c r="AA64" s="4"/>
      <c r="AB64" s="4"/>
      <c r="AC64" s="4"/>
      <c r="AD64" s="4"/>
      <c r="AE64" s="4"/>
      <c r="AM64" s="5"/>
      <c r="AN64" s="6"/>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1:142" ht="21.75" customHeight="1" x14ac:dyDescent="0.2">
      <c r="A65" s="98"/>
      <c r="B65" s="10"/>
      <c r="C65" s="11"/>
      <c r="D65" s="11"/>
      <c r="E65" s="42"/>
      <c r="F65" s="42"/>
      <c r="G65" s="42"/>
      <c r="H65" s="42"/>
      <c r="I65" s="42"/>
      <c r="J65" s="42"/>
      <c r="K65" s="42"/>
      <c r="L65" s="34">
        <f t="shared" ref="L65:L74" si="28">IF(C65&gt;1,B65*O65,0)</f>
        <v>0</v>
      </c>
      <c r="M65" s="135"/>
      <c r="N65" s="136"/>
      <c r="O65" s="8">
        <f>VLOOKUP(C65,$U$66:$V$72,2,TRUE)</f>
        <v>80</v>
      </c>
      <c r="P65" s="9">
        <f>IF(Q65&gt;1,B65*Q65,0)</f>
        <v>0</v>
      </c>
      <c r="Q65" s="9">
        <f t="shared" ref="Q65:Q74" si="29">IF(C65&gt;1,VLOOKUP(A65,$A$163:$C$165,3,FALSE),0)</f>
        <v>0</v>
      </c>
      <c r="R65" s="4"/>
      <c r="S65" s="4"/>
      <c r="T65" s="4"/>
      <c r="U65" s="4"/>
      <c r="V65" s="4"/>
      <c r="W65" s="4"/>
      <c r="X65" s="4"/>
      <c r="Y65" s="4"/>
      <c r="Z65" s="4"/>
      <c r="AA65" s="4"/>
      <c r="AB65" s="4"/>
      <c r="AC65" s="4"/>
      <c r="AD65" s="4"/>
      <c r="AE65" s="4"/>
      <c r="AM65" s="5"/>
      <c r="AN65" s="6"/>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1:142" ht="21.75" customHeight="1" x14ac:dyDescent="0.25">
      <c r="A66" s="98"/>
      <c r="B66" s="10"/>
      <c r="C66" s="11"/>
      <c r="D66" s="11"/>
      <c r="E66" s="42"/>
      <c r="F66" s="42"/>
      <c r="G66" s="42"/>
      <c r="H66" s="42"/>
      <c r="I66" s="42"/>
      <c r="J66" s="42"/>
      <c r="K66" s="42"/>
      <c r="L66" s="34">
        <f t="shared" si="28"/>
        <v>0</v>
      </c>
      <c r="M66" s="135"/>
      <c r="N66" s="136"/>
      <c r="O66" s="8">
        <f t="shared" ref="O66:O74" si="30">VLOOKUP(C66,$U$66:$V$72,2,TRUE)</f>
        <v>80</v>
      </c>
      <c r="P66" s="9">
        <f t="shared" ref="P66:P74" si="31">IF(Q66&gt;1,B66*Q66,0)</f>
        <v>0</v>
      </c>
      <c r="Q66" s="9">
        <f t="shared" si="29"/>
        <v>0</v>
      </c>
      <c r="R66" s="4"/>
      <c r="S66" s="4"/>
      <c r="T66" s="4"/>
      <c r="U66">
        <v>0</v>
      </c>
      <c r="V66">
        <v>80</v>
      </c>
      <c r="W66" s="4"/>
      <c r="X66" s="4"/>
      <c r="Y66" s="4"/>
      <c r="Z66" s="4"/>
      <c r="AA66" s="4"/>
      <c r="AB66" s="4"/>
      <c r="AC66" s="4"/>
      <c r="AD66" s="4"/>
      <c r="AE66" s="4"/>
      <c r="AM66" s="5"/>
      <c r="AN66" s="6"/>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1:142" ht="21.75" customHeight="1" x14ac:dyDescent="0.25">
      <c r="A67" s="98"/>
      <c r="B67" s="10"/>
      <c r="C67" s="11"/>
      <c r="D67" s="11"/>
      <c r="E67" s="42"/>
      <c r="F67" s="42"/>
      <c r="G67" s="42"/>
      <c r="H67" s="42"/>
      <c r="I67" s="42"/>
      <c r="J67" s="42"/>
      <c r="K67" s="42"/>
      <c r="L67" s="34">
        <f t="shared" si="28"/>
        <v>0</v>
      </c>
      <c r="M67" s="135"/>
      <c r="N67" s="136"/>
      <c r="O67" s="8">
        <f t="shared" si="30"/>
        <v>80</v>
      </c>
      <c r="P67" s="9">
        <f t="shared" si="31"/>
        <v>0</v>
      </c>
      <c r="Q67" s="9">
        <f t="shared" si="29"/>
        <v>0</v>
      </c>
      <c r="R67" s="4"/>
      <c r="S67" s="4"/>
      <c r="T67" s="4"/>
      <c r="U67">
        <v>600</v>
      </c>
      <c r="V67">
        <v>80</v>
      </c>
      <c r="W67" s="4"/>
      <c r="X67" s="4"/>
      <c r="Y67" s="4"/>
      <c r="Z67" s="4"/>
      <c r="AA67" s="4"/>
      <c r="AB67" s="4"/>
      <c r="AC67" s="4"/>
      <c r="AD67" s="4"/>
      <c r="AE67" s="4"/>
      <c r="AM67" s="5"/>
      <c r="AN67" s="6"/>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1:142" ht="21.75" customHeight="1" x14ac:dyDescent="0.25">
      <c r="A68" s="98"/>
      <c r="B68" s="10"/>
      <c r="C68" s="11"/>
      <c r="D68" s="11"/>
      <c r="E68" s="42"/>
      <c r="F68" s="42"/>
      <c r="G68" s="42"/>
      <c r="H68" s="42"/>
      <c r="I68" s="42"/>
      <c r="J68" s="42"/>
      <c r="K68" s="42"/>
      <c r="L68" s="34">
        <f t="shared" si="28"/>
        <v>0</v>
      </c>
      <c r="M68" s="135"/>
      <c r="N68" s="136"/>
      <c r="O68" s="8">
        <f t="shared" si="30"/>
        <v>80</v>
      </c>
      <c r="P68" s="9">
        <f t="shared" si="31"/>
        <v>0</v>
      </c>
      <c r="Q68" s="9">
        <f t="shared" si="29"/>
        <v>0</v>
      </c>
      <c r="R68" s="4"/>
      <c r="S68" s="4"/>
      <c r="T68" s="4"/>
      <c r="U68">
        <v>601</v>
      </c>
      <c r="V68">
        <v>116</v>
      </c>
      <c r="W68" s="4"/>
      <c r="X68" s="4"/>
      <c r="Y68" s="4"/>
      <c r="Z68" s="4"/>
      <c r="AA68" s="4"/>
      <c r="AB68" s="4"/>
      <c r="AC68" s="4"/>
      <c r="AD68" s="4"/>
      <c r="AE68" s="4"/>
      <c r="AM68" s="5"/>
      <c r="AN68" s="6"/>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1:142" ht="21.75" customHeight="1" x14ac:dyDescent="0.25">
      <c r="A69" s="98"/>
      <c r="B69" s="10"/>
      <c r="C69" s="11"/>
      <c r="D69" s="11"/>
      <c r="E69" s="42"/>
      <c r="F69" s="42"/>
      <c r="G69" s="42"/>
      <c r="H69" s="42"/>
      <c r="I69" s="42"/>
      <c r="J69" s="42"/>
      <c r="K69" s="42"/>
      <c r="L69" s="34">
        <f t="shared" si="28"/>
        <v>0</v>
      </c>
      <c r="M69" s="135"/>
      <c r="N69" s="136"/>
      <c r="O69" s="8">
        <f t="shared" si="30"/>
        <v>80</v>
      </c>
      <c r="P69" s="9">
        <f t="shared" si="31"/>
        <v>0</v>
      </c>
      <c r="Q69" s="9">
        <f t="shared" si="29"/>
        <v>0</v>
      </c>
      <c r="R69" s="4"/>
      <c r="S69" s="4"/>
      <c r="T69" s="4"/>
      <c r="U69">
        <v>1200</v>
      </c>
      <c r="V69">
        <v>116</v>
      </c>
      <c r="W69" s="4"/>
      <c r="X69" s="4"/>
      <c r="Y69" s="4"/>
      <c r="Z69" s="4"/>
      <c r="AA69" s="4"/>
      <c r="AB69" s="4"/>
      <c r="AC69" s="4"/>
      <c r="AD69" s="4"/>
      <c r="AE69" s="4"/>
      <c r="AM69" s="5"/>
      <c r="AN69" s="6"/>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1:142" ht="21.75" customHeight="1" x14ac:dyDescent="0.25">
      <c r="A70" s="98"/>
      <c r="B70" s="10"/>
      <c r="C70" s="11"/>
      <c r="D70" s="11"/>
      <c r="E70" s="42"/>
      <c r="F70" s="42"/>
      <c r="G70" s="42"/>
      <c r="H70" s="42"/>
      <c r="I70" s="42"/>
      <c r="J70" s="42"/>
      <c r="K70" s="42"/>
      <c r="L70" s="34">
        <f t="shared" si="28"/>
        <v>0</v>
      </c>
      <c r="M70" s="135"/>
      <c r="N70" s="136"/>
      <c r="O70" s="8">
        <f t="shared" si="30"/>
        <v>80</v>
      </c>
      <c r="P70" s="9">
        <f t="shared" si="31"/>
        <v>0</v>
      </c>
      <c r="Q70" s="9">
        <f t="shared" si="29"/>
        <v>0</v>
      </c>
      <c r="R70" s="4"/>
      <c r="S70" s="4"/>
      <c r="T70" s="4"/>
      <c r="U70">
        <v>1201</v>
      </c>
      <c r="V70">
        <v>152</v>
      </c>
      <c r="W70" s="4"/>
      <c r="X70" s="4"/>
      <c r="Y70" s="4"/>
      <c r="Z70" s="4"/>
      <c r="AA70" s="4"/>
      <c r="AB70" s="4"/>
      <c r="AC70" s="4"/>
      <c r="AD70" s="4"/>
      <c r="AE70" s="4"/>
      <c r="AM70" s="5"/>
      <c r="AN70" s="6"/>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1:142" ht="21.75" customHeight="1" x14ac:dyDescent="0.25">
      <c r="A71" s="98"/>
      <c r="B71" s="10"/>
      <c r="C71" s="11"/>
      <c r="D71" s="11"/>
      <c r="E71" s="42"/>
      <c r="F71" s="42"/>
      <c r="G71" s="42"/>
      <c r="H71" s="42"/>
      <c r="I71" s="42"/>
      <c r="J71" s="42"/>
      <c r="K71" s="42"/>
      <c r="L71" s="34">
        <f t="shared" si="28"/>
        <v>0</v>
      </c>
      <c r="M71" s="135"/>
      <c r="N71" s="136"/>
      <c r="O71" s="8">
        <f t="shared" si="30"/>
        <v>80</v>
      </c>
      <c r="P71" s="9">
        <f t="shared" si="31"/>
        <v>0</v>
      </c>
      <c r="Q71" s="9">
        <f t="shared" si="29"/>
        <v>0</v>
      </c>
      <c r="R71" s="4"/>
      <c r="S71" s="4"/>
      <c r="T71" s="4"/>
      <c r="U71">
        <v>2200</v>
      </c>
      <c r="V71">
        <v>152</v>
      </c>
      <c r="W71" s="4"/>
      <c r="X71" s="4"/>
      <c r="Y71" s="4"/>
      <c r="Z71" s="4"/>
      <c r="AA71" s="4"/>
      <c r="AB71" s="4"/>
      <c r="AC71" s="4"/>
      <c r="AD71" s="4"/>
      <c r="AE71" s="4"/>
      <c r="AM71" s="5"/>
      <c r="AN71" s="6"/>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row>
    <row r="72" spans="1:142" ht="21.75" customHeight="1" x14ac:dyDescent="0.25">
      <c r="A72" s="98"/>
      <c r="B72" s="10"/>
      <c r="C72" s="11"/>
      <c r="D72" s="11"/>
      <c r="E72" s="42"/>
      <c r="F72" s="42"/>
      <c r="G72" s="42"/>
      <c r="H72" s="42"/>
      <c r="I72" s="42"/>
      <c r="J72" s="42"/>
      <c r="K72" s="42"/>
      <c r="L72" s="34">
        <f t="shared" si="28"/>
        <v>0</v>
      </c>
      <c r="M72" s="135"/>
      <c r="N72" s="136"/>
      <c r="O72" s="8">
        <f t="shared" si="30"/>
        <v>80</v>
      </c>
      <c r="P72" s="9">
        <f t="shared" si="31"/>
        <v>0</v>
      </c>
      <c r="Q72" s="9">
        <f t="shared" si="29"/>
        <v>0</v>
      </c>
      <c r="R72" s="4"/>
      <c r="S72" s="4"/>
      <c r="T72" s="4"/>
      <c r="U72">
        <v>2201</v>
      </c>
      <c r="V72">
        <v>0</v>
      </c>
      <c r="W72" s="4"/>
      <c r="X72" s="4"/>
      <c r="Y72" s="4"/>
      <c r="Z72" s="4"/>
      <c r="AA72" s="4"/>
      <c r="AB72" s="4"/>
      <c r="AC72" s="4"/>
      <c r="AD72" s="4"/>
      <c r="AE72" s="4"/>
      <c r="AM72" s="5"/>
      <c r="AN72" s="6"/>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row>
    <row r="73" spans="1:142" ht="21.75" customHeight="1" x14ac:dyDescent="0.2">
      <c r="A73" s="98"/>
      <c r="B73" s="10"/>
      <c r="C73" s="11"/>
      <c r="D73" s="11"/>
      <c r="E73" s="42"/>
      <c r="F73" s="42"/>
      <c r="G73" s="42"/>
      <c r="H73" s="42"/>
      <c r="I73" s="42"/>
      <c r="J73" s="42"/>
      <c r="K73" s="42"/>
      <c r="L73" s="34">
        <f t="shared" si="28"/>
        <v>0</v>
      </c>
      <c r="M73" s="135"/>
      <c r="N73" s="136"/>
      <c r="O73" s="8">
        <f t="shared" si="30"/>
        <v>80</v>
      </c>
      <c r="P73" s="9">
        <f t="shared" si="31"/>
        <v>0</v>
      </c>
      <c r="Q73" s="9">
        <f t="shared" si="29"/>
        <v>0</v>
      </c>
      <c r="R73" s="4"/>
      <c r="S73" s="4"/>
      <c r="T73" s="4"/>
      <c r="U73" s="4"/>
      <c r="V73" s="4"/>
      <c r="W73" s="4"/>
      <c r="X73" s="4"/>
      <c r="Y73" s="4"/>
      <c r="Z73" s="4"/>
      <c r="AA73" s="4"/>
      <c r="AB73" s="4"/>
      <c r="AC73" s="4"/>
      <c r="AD73" s="4"/>
      <c r="AE73" s="4"/>
      <c r="AM73" s="5"/>
      <c r="AN73" s="6"/>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row>
    <row r="74" spans="1:142" ht="21.75" customHeight="1" x14ac:dyDescent="0.2">
      <c r="A74" s="98"/>
      <c r="B74" s="10"/>
      <c r="C74" s="11"/>
      <c r="D74" s="11"/>
      <c r="E74" s="42"/>
      <c r="F74" s="42"/>
      <c r="G74" s="42"/>
      <c r="H74" s="42"/>
      <c r="I74" s="42"/>
      <c r="J74" s="42"/>
      <c r="K74" s="42"/>
      <c r="L74" s="34">
        <f t="shared" si="28"/>
        <v>0</v>
      </c>
      <c r="M74" s="135"/>
      <c r="N74" s="136"/>
      <c r="O74" s="8">
        <f t="shared" si="30"/>
        <v>80</v>
      </c>
      <c r="P74" s="9">
        <f t="shared" si="31"/>
        <v>0</v>
      </c>
      <c r="Q74" s="9">
        <f t="shared" si="29"/>
        <v>0</v>
      </c>
      <c r="R74" s="4"/>
      <c r="S74" s="4"/>
      <c r="T74" s="4"/>
      <c r="U74" s="4"/>
      <c r="V74" s="4"/>
      <c r="W74" s="4"/>
      <c r="X74" s="4"/>
      <c r="Y74" s="4"/>
      <c r="Z74" s="4"/>
      <c r="AA74" s="4"/>
      <c r="AB74" s="4"/>
      <c r="AC74" s="4"/>
      <c r="AD74" s="4"/>
      <c r="AE74" s="4"/>
      <c r="AM74" s="5"/>
      <c r="AN74" s="6"/>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row>
    <row r="75" spans="1:142" ht="72" customHeight="1" x14ac:dyDescent="0.2">
      <c r="A75" s="137" t="s">
        <v>160</v>
      </c>
      <c r="B75" s="153"/>
      <c r="C75" s="153"/>
      <c r="D75" s="153"/>
      <c r="E75" s="153"/>
      <c r="F75" s="153"/>
      <c r="G75" s="153"/>
      <c r="H75" s="153"/>
      <c r="I75" s="153"/>
      <c r="J75" s="153"/>
      <c r="K75" s="153"/>
      <c r="L75" s="153"/>
      <c r="M75" s="153"/>
      <c r="N75" s="154"/>
      <c r="W75" s="1">
        <v>1</v>
      </c>
      <c r="X75" s="4" t="s">
        <v>62</v>
      </c>
      <c r="AF75" s="1" t="s">
        <v>63</v>
      </c>
      <c r="AM75" s="5"/>
      <c r="AN75" s="6"/>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row>
    <row r="76" spans="1:142" ht="21" customHeight="1" x14ac:dyDescent="0.2">
      <c r="A76" s="100" t="s">
        <v>161</v>
      </c>
      <c r="B76" s="41"/>
      <c r="C76" s="41"/>
      <c r="D76" s="41"/>
      <c r="E76" s="41"/>
      <c r="F76" s="41"/>
      <c r="G76" s="41"/>
      <c r="H76" s="41"/>
      <c r="I76" s="41"/>
      <c r="J76" s="41"/>
      <c r="K76" s="44" t="s">
        <v>161</v>
      </c>
      <c r="L76" s="34">
        <f>HLOOKUP(R7,$AC$83:$AI$84,2,FALSE)</f>
        <v>50</v>
      </c>
      <c r="M76" s="45">
        <f>+P77</f>
        <v>14</v>
      </c>
      <c r="N76" s="101" t="s">
        <v>13</v>
      </c>
      <c r="O76" s="8"/>
      <c r="P76" s="9">
        <f>IF(A76=$X$6,S108,(IF(A76=$X$5,Q108,(IF(A76=$X$7,$W$7,(IF(A76=$X$8,$W$8,(IF(A76=$X$9,$W$9,(IF(A76=$X$11,$W$11,0)))))))))))*B76</f>
        <v>0</v>
      </c>
      <c r="Q76" s="9"/>
      <c r="R76" s="4"/>
      <c r="S76" s="4">
        <f t="shared" si="18"/>
        <v>100</v>
      </c>
      <c r="T76" s="4">
        <f t="shared" si="19"/>
        <v>0</v>
      </c>
      <c r="U76" s="4"/>
      <c r="V76" s="4"/>
      <c r="W76" s="4"/>
      <c r="X76" s="4"/>
      <c r="Y76" s="4"/>
      <c r="Z76" s="9">
        <v>0</v>
      </c>
      <c r="AA76" s="4">
        <v>31</v>
      </c>
      <c r="AB76" s="4"/>
      <c r="AC76" s="4"/>
      <c r="AD76" s="4"/>
      <c r="AE76" s="4"/>
      <c r="AM76" s="5" t="s">
        <v>162</v>
      </c>
      <c r="AN76" s="6" t="s">
        <v>163</v>
      </c>
      <c r="AO76" s="1">
        <v>1</v>
      </c>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row>
    <row r="77" spans="1:142" ht="21" customHeight="1" x14ac:dyDescent="0.2">
      <c r="A77" s="100" t="s">
        <v>164</v>
      </c>
      <c r="B77" s="41"/>
      <c r="C77" s="41"/>
      <c r="D77" s="41"/>
      <c r="E77" s="41"/>
      <c r="F77" s="41"/>
      <c r="G77" s="41"/>
      <c r="H77" s="41"/>
      <c r="I77" s="41"/>
      <c r="J77" s="41"/>
      <c r="K77" s="44" t="s">
        <v>164</v>
      </c>
      <c r="L77" s="128">
        <f>IF(O77&gt;0,O78,0)</f>
        <v>0</v>
      </c>
      <c r="M77" s="151" t="str">
        <f>IF(L77&gt;0,U81,"")</f>
        <v/>
      </c>
      <c r="N77" s="152"/>
      <c r="O77" s="5">
        <f>SUM(O14:O38)</f>
        <v>0</v>
      </c>
      <c r="P77" s="9">
        <f>SUM(P14:P76)</f>
        <v>14</v>
      </c>
      <c r="Q77" s="9"/>
      <c r="R77" s="4"/>
      <c r="S77" s="4">
        <f t="shared" si="18"/>
        <v>100</v>
      </c>
      <c r="T77" s="4">
        <f>SUM(T14:T76)</f>
        <v>-656</v>
      </c>
      <c r="U77" s="4"/>
      <c r="V77" s="4"/>
      <c r="W77" s="4"/>
      <c r="X77" s="4"/>
      <c r="Y77" s="4"/>
      <c r="Z77" s="9">
        <v>916</v>
      </c>
      <c r="AA77" s="4">
        <v>36</v>
      </c>
      <c r="AB77" s="4"/>
      <c r="AC77" s="4"/>
      <c r="AD77" s="4"/>
      <c r="AE77" s="4"/>
      <c r="AM77" s="5" t="s">
        <v>165</v>
      </c>
      <c r="AN77" s="6" t="s">
        <v>166</v>
      </c>
      <c r="AO77" s="1">
        <v>1</v>
      </c>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row>
    <row r="78" spans="1:142" ht="21" customHeight="1" x14ac:dyDescent="0.2">
      <c r="A78" s="102" t="s">
        <v>167</v>
      </c>
      <c r="B78" s="41"/>
      <c r="C78" s="41"/>
      <c r="D78" s="41"/>
      <c r="E78" s="41"/>
      <c r="F78" s="41"/>
      <c r="G78" s="41"/>
      <c r="H78" s="41"/>
      <c r="I78" s="41"/>
      <c r="J78" s="41"/>
      <c r="K78" s="46" t="s">
        <v>167</v>
      </c>
      <c r="L78" s="47" t="e">
        <f>SUM(L21:L30)+L33+L34+L35+L36+L37+L38+L76+L77+L14+L15+L16+L17+L18+L41+L42+L43+L44+L45+L46+L47+L48+L49+L50+L53+L54+L55+L56+L57+L58+L59+L60+L61+L62+L65+L66+L67+L68+L69+L70+L71+L72+L73+L74</f>
        <v>#REF!</v>
      </c>
      <c r="M78" s="109" t="s">
        <v>626</v>
      </c>
      <c r="N78" s="110"/>
      <c r="O78" s="90">
        <f>200*F81</f>
        <v>200</v>
      </c>
      <c r="P78" s="9"/>
      <c r="Q78" s="9"/>
      <c r="R78" s="4"/>
      <c r="S78" s="4"/>
      <c r="T78" s="4">
        <f>+T77</f>
        <v>-656</v>
      </c>
      <c r="U78" s="4"/>
      <c r="V78" s="4"/>
      <c r="W78" s="4"/>
      <c r="X78" s="4"/>
      <c r="Y78" s="4"/>
      <c r="Z78" s="9">
        <v>1221</v>
      </c>
      <c r="AA78" s="4">
        <v>62</v>
      </c>
      <c r="AB78" s="4"/>
      <c r="AC78" s="4"/>
      <c r="AD78" s="4"/>
      <c r="AE78" s="4"/>
      <c r="AM78" s="5" t="s">
        <v>168</v>
      </c>
      <c r="AN78" s="6" t="s">
        <v>169</v>
      </c>
      <c r="AO78" s="1">
        <v>1</v>
      </c>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row>
    <row r="79" spans="1:142" ht="21" customHeight="1" x14ac:dyDescent="0.2">
      <c r="A79" s="100" t="s">
        <v>170</v>
      </c>
      <c r="B79" s="41"/>
      <c r="C79" s="41"/>
      <c r="D79" s="41"/>
      <c r="E79" s="41"/>
      <c r="F79" s="41"/>
      <c r="G79" s="41"/>
      <c r="H79" s="41"/>
      <c r="I79" s="41"/>
      <c r="J79" s="41"/>
      <c r="K79" s="44" t="s">
        <v>170</v>
      </c>
      <c r="L79" s="34" t="e">
        <f>+L78*0.2</f>
        <v>#REF!</v>
      </c>
      <c r="M79" s="146" t="s">
        <v>623</v>
      </c>
      <c r="N79" s="147"/>
      <c r="O79" s="90"/>
      <c r="P79" s="9"/>
      <c r="Q79" s="9"/>
      <c r="R79" s="4"/>
      <c r="S79" s="4"/>
      <c r="T79" s="4"/>
      <c r="U79" s="4"/>
      <c r="V79" s="4"/>
      <c r="W79" s="4"/>
      <c r="X79" s="4"/>
      <c r="Y79" s="4"/>
      <c r="Z79" s="9">
        <v>1831</v>
      </c>
      <c r="AA79" s="4">
        <v>72</v>
      </c>
      <c r="AB79" s="4"/>
      <c r="AC79" s="4"/>
      <c r="AD79" s="4"/>
      <c r="AE79" s="4"/>
      <c r="AM79" s="5" t="s">
        <v>171</v>
      </c>
      <c r="AN79" s="6" t="s">
        <v>172</v>
      </c>
      <c r="AO79" s="1">
        <v>1</v>
      </c>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row>
    <row r="80" spans="1:142" ht="21" customHeight="1" x14ac:dyDescent="0.2">
      <c r="A80" s="102" t="s">
        <v>173</v>
      </c>
      <c r="B80" s="41"/>
      <c r="C80" s="41"/>
      <c r="D80" s="41"/>
      <c r="E80" s="41"/>
      <c r="F80" s="41"/>
      <c r="G80" s="41"/>
      <c r="H80" s="41"/>
      <c r="I80" s="41"/>
      <c r="J80" s="41"/>
      <c r="K80" s="46" t="s">
        <v>173</v>
      </c>
      <c r="L80" s="47" t="e">
        <f>+L78*1.2</f>
        <v>#REF!</v>
      </c>
      <c r="M80" s="146" t="s">
        <v>624</v>
      </c>
      <c r="N80" s="147"/>
      <c r="O80" s="13"/>
      <c r="P80" s="9"/>
      <c r="Q80" s="9"/>
      <c r="R80" s="4"/>
      <c r="S80" s="4"/>
      <c r="T80" s="4"/>
      <c r="U80" s="4"/>
      <c r="V80" s="4"/>
      <c r="W80" s="4"/>
      <c r="X80" s="4"/>
      <c r="Y80" s="4"/>
      <c r="Z80" s="4"/>
      <c r="AA80" s="4"/>
      <c r="AB80" s="4"/>
      <c r="AC80" s="4"/>
      <c r="AD80" s="4"/>
      <c r="AE80" s="4"/>
      <c r="AM80" s="5" t="s">
        <v>174</v>
      </c>
      <c r="AN80" s="6" t="s">
        <v>175</v>
      </c>
      <c r="AO80" s="1">
        <v>1</v>
      </c>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row>
    <row r="81" spans="1:142" ht="21" customHeight="1" x14ac:dyDescent="0.2">
      <c r="A81" s="145" t="s">
        <v>627</v>
      </c>
      <c r="B81" s="148" t="s">
        <v>641</v>
      </c>
      <c r="C81" s="149"/>
      <c r="D81" s="149"/>
      <c r="E81" s="150"/>
      <c r="F81" s="10">
        <v>1</v>
      </c>
      <c r="G81" s="41"/>
      <c r="H81" s="41"/>
      <c r="I81" s="41"/>
      <c r="J81" s="41"/>
      <c r="K81" s="41"/>
      <c r="L81" s="41"/>
      <c r="M81" s="41"/>
      <c r="N81" s="41"/>
      <c r="O81" s="13"/>
      <c r="P81" s="4"/>
      <c r="Q81" s="4"/>
      <c r="R81" s="4"/>
      <c r="S81" s="4"/>
      <c r="T81" s="14">
        <f>IF(O40&lt;1,0,250-$T$77)</f>
        <v>0</v>
      </c>
      <c r="U81" s="4" t="s">
        <v>625</v>
      </c>
      <c r="V81" s="4"/>
      <c r="W81" s="4"/>
      <c r="X81" s="4"/>
      <c r="Y81" s="4"/>
      <c r="Z81" s="4"/>
      <c r="AA81" s="4"/>
      <c r="AB81" s="4"/>
      <c r="AC81" s="4"/>
      <c r="AD81" s="4"/>
      <c r="AE81" s="4"/>
      <c r="AM81" s="5" t="s">
        <v>176</v>
      </c>
      <c r="AN81" s="6" t="s">
        <v>177</v>
      </c>
      <c r="AO81" s="1">
        <v>1</v>
      </c>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row>
    <row r="82" spans="1:142" ht="21" customHeight="1" x14ac:dyDescent="0.2">
      <c r="A82" s="145"/>
      <c r="B82" s="135"/>
      <c r="C82" s="135"/>
      <c r="D82" s="135"/>
      <c r="E82" s="135"/>
      <c r="F82" s="135"/>
      <c r="G82" s="135"/>
      <c r="H82" s="135"/>
      <c r="I82" s="135"/>
      <c r="J82" s="135"/>
      <c r="K82" s="135"/>
      <c r="L82" s="135"/>
      <c r="M82" s="135"/>
      <c r="N82" s="136"/>
      <c r="O82" s="70"/>
      <c r="P82" s="4"/>
      <c r="Q82" s="4"/>
      <c r="R82" s="4"/>
      <c r="S82" s="4"/>
      <c r="T82" s="4"/>
      <c r="U82" s="4"/>
      <c r="V82" s="4"/>
      <c r="W82" s="4"/>
      <c r="X82" s="4"/>
      <c r="Y82" s="4"/>
      <c r="Z82" s="4"/>
      <c r="AA82" s="4"/>
      <c r="AB82" s="4"/>
      <c r="AC82" s="4"/>
      <c r="AD82" s="4"/>
      <c r="AE82" s="4"/>
      <c r="AM82" s="5" t="s">
        <v>178</v>
      </c>
      <c r="AN82" s="6" t="s">
        <v>179</v>
      </c>
      <c r="AO82" s="1">
        <v>1</v>
      </c>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row>
    <row r="83" spans="1:142" ht="24.75" customHeight="1" x14ac:dyDescent="0.2">
      <c r="A83" s="145"/>
      <c r="B83" s="135"/>
      <c r="C83" s="135"/>
      <c r="D83" s="135"/>
      <c r="E83" s="135"/>
      <c r="F83" s="135"/>
      <c r="G83" s="135"/>
      <c r="H83" s="135"/>
      <c r="I83" s="135"/>
      <c r="J83" s="135"/>
      <c r="K83" s="135"/>
      <c r="L83" s="135"/>
      <c r="M83" s="135"/>
      <c r="N83" s="136"/>
      <c r="O83" s="13"/>
      <c r="P83" s="4"/>
      <c r="Q83" s="4"/>
      <c r="R83" s="4"/>
      <c r="S83" s="4"/>
      <c r="T83" s="4"/>
      <c r="U83" s="4"/>
      <c r="V83" s="4"/>
      <c r="W83" s="4"/>
      <c r="X83" s="4"/>
      <c r="Y83" s="4"/>
      <c r="Z83" s="4"/>
      <c r="AA83" s="4"/>
      <c r="AB83" s="4"/>
      <c r="AC83" s="4">
        <v>0</v>
      </c>
      <c r="AD83" s="9">
        <v>1</v>
      </c>
      <c r="AE83" s="9">
        <v>2</v>
      </c>
      <c r="AF83" s="1">
        <v>3</v>
      </c>
      <c r="AG83" s="1">
        <v>4</v>
      </c>
      <c r="AH83" s="1">
        <v>5</v>
      </c>
      <c r="AI83" s="1">
        <v>6</v>
      </c>
      <c r="AM83" s="5" t="s">
        <v>180</v>
      </c>
      <c r="AN83" s="6" t="s">
        <v>181</v>
      </c>
      <c r="AO83" s="1">
        <v>2</v>
      </c>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row>
    <row r="84" spans="1:142" ht="28.15" customHeight="1" thickBot="1" x14ac:dyDescent="0.25">
      <c r="A84" s="103" t="s">
        <v>182</v>
      </c>
      <c r="B84" s="104" t="s">
        <v>183</v>
      </c>
      <c r="C84" s="104"/>
      <c r="D84" s="104"/>
      <c r="E84" s="104" t="s">
        <v>184</v>
      </c>
      <c r="F84" s="104"/>
      <c r="G84" s="104" t="s">
        <v>185</v>
      </c>
      <c r="H84" s="104"/>
      <c r="I84" s="104"/>
      <c r="J84" s="104"/>
      <c r="K84" s="104" t="s">
        <v>186</v>
      </c>
      <c r="L84" s="104"/>
      <c r="M84" s="104" t="s">
        <v>187</v>
      </c>
      <c r="N84" s="105"/>
      <c r="O84" s="13"/>
      <c r="P84" s="4"/>
      <c r="Q84" s="4"/>
      <c r="R84" s="4"/>
      <c r="S84" s="4"/>
      <c r="T84" s="4"/>
      <c r="U84" s="4"/>
      <c r="V84" s="4"/>
      <c r="W84" s="4"/>
      <c r="X84" s="4">
        <v>25</v>
      </c>
      <c r="Y84" s="4">
        <v>14.5</v>
      </c>
      <c r="Z84" s="4">
        <v>20</v>
      </c>
      <c r="AA84" s="4">
        <v>31</v>
      </c>
      <c r="AB84" s="4"/>
      <c r="AC84" s="4">
        <v>0</v>
      </c>
      <c r="AD84" s="4">
        <v>50</v>
      </c>
      <c r="AE84" s="4">
        <v>50</v>
      </c>
      <c r="AF84" s="4">
        <v>100</v>
      </c>
      <c r="AG84" s="4">
        <v>50</v>
      </c>
      <c r="AH84" s="4">
        <v>50</v>
      </c>
      <c r="AI84" s="1">
        <v>0</v>
      </c>
      <c r="AM84" s="5" t="s">
        <v>188</v>
      </c>
      <c r="AN84" s="6" t="s">
        <v>189</v>
      </c>
      <c r="AO84" s="1">
        <v>1</v>
      </c>
      <c r="AR84" s="1" t="s">
        <v>584</v>
      </c>
      <c r="AT84" s="1" t="s">
        <v>596</v>
      </c>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row>
    <row r="85" spans="1:142" ht="28.15" hidden="1" customHeight="1" x14ac:dyDescent="0.2">
      <c r="A85" s="15"/>
      <c r="B85" s="13"/>
      <c r="C85" s="13"/>
      <c r="D85" s="13"/>
      <c r="E85" s="13"/>
      <c r="F85" s="13"/>
      <c r="G85" s="13"/>
      <c r="H85" s="13"/>
      <c r="I85" s="13"/>
      <c r="J85" s="13"/>
      <c r="K85" s="13"/>
      <c r="L85" s="13"/>
      <c r="M85" s="13"/>
      <c r="N85" s="13"/>
      <c r="O85" s="13"/>
      <c r="P85" s="4"/>
      <c r="Q85" s="4"/>
      <c r="R85" s="4"/>
      <c r="S85" s="4"/>
      <c r="T85" s="4"/>
      <c r="U85" s="4"/>
      <c r="V85" s="4"/>
      <c r="W85" s="4"/>
      <c r="X85" s="4"/>
      <c r="Y85" s="4"/>
      <c r="Z85" s="4"/>
      <c r="AA85" s="4"/>
      <c r="AB85" s="4"/>
      <c r="AC85" s="4"/>
      <c r="AD85" s="4"/>
      <c r="AE85" s="4"/>
      <c r="AF85" s="4"/>
      <c r="AG85" s="4"/>
      <c r="AL85" s="1" t="s">
        <v>619</v>
      </c>
      <c r="AM85" s="5"/>
      <c r="AN85" s="6"/>
      <c r="AR85" s="1" t="s">
        <v>592</v>
      </c>
      <c r="AT85" s="1" t="s">
        <v>592</v>
      </c>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row>
    <row r="86" spans="1:142" ht="28.15" hidden="1" customHeight="1" x14ac:dyDescent="0.2">
      <c r="A86" s="1"/>
      <c r="B86" s="1"/>
      <c r="C86" s="1"/>
      <c r="D86" s="1"/>
      <c r="E86" s="1"/>
      <c r="F86" s="1"/>
      <c r="G86" s="1"/>
      <c r="H86" s="1"/>
      <c r="I86" s="1"/>
      <c r="J86" s="1"/>
      <c r="K86" s="1"/>
      <c r="L86" s="1"/>
      <c r="M86" s="4" t="s">
        <v>190</v>
      </c>
      <c r="N86" s="4" t="s">
        <v>191</v>
      </c>
      <c r="O86" s="4"/>
      <c r="P86" s="4" t="s">
        <v>190</v>
      </c>
      <c r="Q86" s="4"/>
      <c r="R86" s="4" t="s">
        <v>191</v>
      </c>
      <c r="S86" s="4"/>
      <c r="T86" s="4" t="s">
        <v>192</v>
      </c>
      <c r="U86" s="4" t="s">
        <v>193</v>
      </c>
      <c r="V86" s="4" t="s">
        <v>194</v>
      </c>
      <c r="W86" s="4" t="s">
        <v>195</v>
      </c>
      <c r="X86" s="4" t="s">
        <v>618</v>
      </c>
      <c r="Y86" s="4" t="s">
        <v>196</v>
      </c>
      <c r="Z86" s="4" t="s">
        <v>197</v>
      </c>
      <c r="AA86" s="4" t="s">
        <v>307</v>
      </c>
      <c r="AB86" s="4" t="s">
        <v>81</v>
      </c>
      <c r="AC86" s="4" t="s">
        <v>13</v>
      </c>
      <c r="AD86" s="4" t="s">
        <v>198</v>
      </c>
      <c r="AE86" s="4" t="s">
        <v>199</v>
      </c>
      <c r="AF86" s="4" t="s">
        <v>200</v>
      </c>
      <c r="AG86" s="4" t="s">
        <v>201</v>
      </c>
      <c r="AH86" s="4" t="s">
        <v>202</v>
      </c>
      <c r="AI86" s="4" t="s">
        <v>203</v>
      </c>
      <c r="AJ86" s="4" t="s">
        <v>204</v>
      </c>
      <c r="AM86" s="5" t="s">
        <v>205</v>
      </c>
      <c r="AN86" s="6" t="s">
        <v>206</v>
      </c>
      <c r="AO86" s="1">
        <v>1</v>
      </c>
      <c r="AP86" s="1" t="s">
        <v>600</v>
      </c>
      <c r="AQ86" s="1" t="s">
        <v>585</v>
      </c>
      <c r="AR86" s="1" t="s">
        <v>590</v>
      </c>
      <c r="AS86" s="1" t="s">
        <v>595</v>
      </c>
      <c r="AT86" s="1" t="s">
        <v>590</v>
      </c>
      <c r="AU86" s="1" t="s">
        <v>601</v>
      </c>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row>
    <row r="87" spans="1:142" ht="28.15" hidden="1" customHeight="1" x14ac:dyDescent="0.2">
      <c r="A87" s="1" t="s">
        <v>207</v>
      </c>
      <c r="B87" s="16">
        <f>+B14</f>
        <v>0</v>
      </c>
      <c r="C87" s="1">
        <v>0</v>
      </c>
      <c r="D87" s="1">
        <v>0</v>
      </c>
      <c r="E87" s="1">
        <v>0</v>
      </c>
      <c r="F87" s="126">
        <v>0</v>
      </c>
      <c r="G87" s="1">
        <f>IF(G14=$AD$6,$AE$6,(IF(G14=$AD$7,$AE$7,(IF(G14=$AD$8,$AE$8,0)))))</f>
        <v>0</v>
      </c>
      <c r="H87" s="1">
        <f>IF(C14&gt;1220,2,1)</f>
        <v>1</v>
      </c>
      <c r="I87" s="1">
        <f>(+IF(I14=$AF$14,30,0))*H87</f>
        <v>0</v>
      </c>
      <c r="J87" s="1">
        <f>+BB14</f>
        <v>0</v>
      </c>
      <c r="K87" s="1" t="e">
        <f>(VLOOKUP(K14,$AG$5:$AH$7,2,FALSE))*H87</f>
        <v>#N/A</v>
      </c>
      <c r="L87" s="1"/>
      <c r="M87" s="1">
        <f>VLOOKUP(C14,$D$129:$H$134,5)</f>
        <v>178</v>
      </c>
      <c r="N87" s="6" t="e">
        <f t="shared" ref="N87:N91" si="32">E176</f>
        <v>#N/A</v>
      </c>
      <c r="P87" s="1" t="e">
        <f>+(((M87*F87)+K87+G87)*B87)</f>
        <v>#N/A</v>
      </c>
      <c r="Q87" s="1">
        <f>+VLOOKUP(C14,$D$129:$M$134,10)</f>
        <v>2.5</v>
      </c>
      <c r="R87" s="1" t="e">
        <f>IF(X14=2,"Error Max width 914/1830mm",+((N87+F87)+G87+K87+I87+J87)*B87)</f>
        <v>#N/A</v>
      </c>
      <c r="S87" s="1">
        <f>VLOOKUP(C14,$D$124:$M$128,10)</f>
        <v>5</v>
      </c>
      <c r="T87" s="1">
        <f>+(M87*F87)-M87</f>
        <v>-178</v>
      </c>
      <c r="U87" s="1" t="e">
        <f>+(N87*F87)-N87</f>
        <v>#N/A</v>
      </c>
      <c r="V87" s="4">
        <f>VLOOKUP(C14,$D$135:$L$145,5)*B87</f>
        <v>0</v>
      </c>
      <c r="W87" s="4">
        <f>VLOOKUP(C14,$D$146:$H$151,5)*B87</f>
        <v>0</v>
      </c>
      <c r="X87" s="4">
        <f>+X$84*$F87*$B87</f>
        <v>0</v>
      </c>
      <c r="Y87" s="4">
        <f t="shared" ref="X87:Y108" si="33">+Y$84*$F87*$B87</f>
        <v>0</v>
      </c>
      <c r="Z87" s="4">
        <f>+$Z$84*B87</f>
        <v>0</v>
      </c>
      <c r="AA87" s="4">
        <f>(VLOOKUP(C14,$Z$76:$AA$79,2,TRUE))*B87</f>
        <v>0</v>
      </c>
      <c r="AB87" s="4">
        <v>0</v>
      </c>
      <c r="AC87" s="9">
        <v>1E-4</v>
      </c>
      <c r="AD87" s="4">
        <v>15</v>
      </c>
      <c r="AE87" s="4">
        <v>18</v>
      </c>
      <c r="AF87" s="4">
        <v>80</v>
      </c>
      <c r="AG87" s="4">
        <v>70</v>
      </c>
      <c r="AH87" s="1">
        <v>60</v>
      </c>
      <c r="AI87" s="17" t="e">
        <f t="shared" ref="AI87:AI98" si="34">VLOOKUP(D14,$Z$113:$AB$117,3,TRUE)*AJ87</f>
        <v>#N/A</v>
      </c>
      <c r="AJ87" s="27">
        <f>IF(C14&gt;1220,2,1)</f>
        <v>1</v>
      </c>
      <c r="AL87" s="1">
        <f>+B87*3</f>
        <v>0</v>
      </c>
      <c r="AM87" s="5" t="s">
        <v>208</v>
      </c>
      <c r="AN87" s="6" t="s">
        <v>209</v>
      </c>
      <c r="AO87" s="1">
        <v>2</v>
      </c>
      <c r="AP87" s="71">
        <v>0</v>
      </c>
      <c r="AQ87" s="1">
        <f>VLOOKUP(C14,$D$124:$U$128,18)</f>
        <v>48</v>
      </c>
      <c r="AR87" s="6" t="e">
        <f>+AB14</f>
        <v>#N/A</v>
      </c>
      <c r="AS87" s="1">
        <f>VLOOKUP(C14,$D$124:$V$128,19)</f>
        <v>68</v>
      </c>
      <c r="AT87" s="61" t="e">
        <f>+AK14</f>
        <v>#N/A</v>
      </c>
      <c r="AU87" s="72">
        <v>0</v>
      </c>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row>
    <row r="88" spans="1:142" ht="28.15" hidden="1" customHeight="1" x14ac:dyDescent="0.2">
      <c r="A88" s="1" t="s">
        <v>210</v>
      </c>
      <c r="B88" s="16">
        <f>+B15</f>
        <v>0</v>
      </c>
      <c r="C88" s="1">
        <v>0</v>
      </c>
      <c r="D88" s="1">
        <v>0</v>
      </c>
      <c r="E88" s="1">
        <v>0</v>
      </c>
      <c r="F88" s="126">
        <v>0</v>
      </c>
      <c r="G88" s="1">
        <f>IF(G15=$AD$6,$AE$6,(IF(G15=$AD$7,$AE$7,(IF(G15=$AD$8,$AE$8,0)))))</f>
        <v>0</v>
      </c>
      <c r="H88" s="1">
        <f>IF(C15&gt;1220,2,1)</f>
        <v>1</v>
      </c>
      <c r="I88" s="1">
        <f t="shared" ref="I88:I91" si="35">(+IF(I15=$AF$14,30,0))*H88</f>
        <v>0</v>
      </c>
      <c r="J88" s="1">
        <f t="shared" ref="J88:J91" si="36">+BB15</f>
        <v>0</v>
      </c>
      <c r="K88" s="1" t="e">
        <f>(VLOOKUP(K15,$AG$5:$AH$7,2,FALSE))*H88</f>
        <v>#N/A</v>
      </c>
      <c r="L88" s="1"/>
      <c r="M88" s="1">
        <f>VLOOKUP(C15,$D$129:$H$134,5)</f>
        <v>178</v>
      </c>
      <c r="N88" s="6" t="e">
        <f t="shared" si="32"/>
        <v>#N/A</v>
      </c>
      <c r="P88" s="1" t="e">
        <f t="shared" ref="P88:P91" si="37">+(((M88*F88)+K88+G88)*B88)</f>
        <v>#N/A</v>
      </c>
      <c r="Q88" s="1">
        <f>+VLOOKUP(C15,$D$129:$M$134,10)</f>
        <v>2.5</v>
      </c>
      <c r="R88" s="1" t="e">
        <f t="shared" ref="R88:R91" si="38">IF(X15=2,"Error Max width 914/1830mm",+((N88+F88)+G88+K88+I88+J88)*B88)</f>
        <v>#N/A</v>
      </c>
      <c r="S88" s="1">
        <f>VLOOKUP(C15,$D$124:$M$128,10)</f>
        <v>5</v>
      </c>
      <c r="T88" s="1">
        <f t="shared" ref="T88:T108" si="39">+(M88*F88)-M88</f>
        <v>-178</v>
      </c>
      <c r="U88" s="1" t="e">
        <f t="shared" ref="U88:U108" si="40">+(N88*F88)-N88</f>
        <v>#N/A</v>
      </c>
      <c r="V88" s="4">
        <f>VLOOKUP(C15,$D$135:$L$145,5)*B88</f>
        <v>0</v>
      </c>
      <c r="W88" s="4">
        <f>VLOOKUP(C15,$D$146:$H$151,5)*B88</f>
        <v>0</v>
      </c>
      <c r="X88" s="4">
        <f t="shared" si="33"/>
        <v>0</v>
      </c>
      <c r="Y88" s="4">
        <f t="shared" si="33"/>
        <v>0</v>
      </c>
      <c r="Z88" s="4">
        <f t="shared" ref="Z88:Z108" si="41">+$Z$84*B88</f>
        <v>0</v>
      </c>
      <c r="AA88" s="4">
        <f t="shared" ref="AA88:AA91" si="42">(VLOOKUP(C15,$Z$76:$AA$79,2,TRUE))*B88</f>
        <v>0</v>
      </c>
      <c r="AB88" s="4">
        <v>0</v>
      </c>
      <c r="AC88" s="9">
        <v>2.0000000000000001E-4</v>
      </c>
      <c r="AD88" s="4">
        <v>15</v>
      </c>
      <c r="AE88" s="4">
        <v>18</v>
      </c>
      <c r="AF88" s="4">
        <v>80</v>
      </c>
      <c r="AG88" s="4">
        <v>70</v>
      </c>
      <c r="AH88" s="1">
        <v>60</v>
      </c>
      <c r="AI88" s="17" t="e">
        <f t="shared" si="34"/>
        <v>#N/A</v>
      </c>
      <c r="AJ88" s="27">
        <f t="shared" ref="AJ88:AJ98" si="43">IF(C15&gt;1220,2,1)</f>
        <v>1</v>
      </c>
      <c r="AL88" s="1">
        <f t="shared" ref="AL88:AL110" si="44">+B88*3</f>
        <v>0</v>
      </c>
      <c r="AM88" s="5" t="s">
        <v>211</v>
      </c>
      <c r="AN88" s="6" t="s">
        <v>212</v>
      </c>
      <c r="AO88" s="1">
        <v>1</v>
      </c>
      <c r="AP88" s="71">
        <v>0</v>
      </c>
      <c r="AQ88" s="1">
        <f>VLOOKUP(C15,$D$124:$U$128,18)</f>
        <v>48</v>
      </c>
      <c r="AR88" s="6" t="e">
        <f t="shared" ref="AR88:AR90" si="45">+AB15</f>
        <v>#N/A</v>
      </c>
      <c r="AS88" s="1">
        <f>VLOOKUP(C15,$D$124:$V$128,19)</f>
        <v>68</v>
      </c>
      <c r="AT88" s="61" t="e">
        <f t="shared" ref="AT88:AT90" si="46">+AK15</f>
        <v>#N/A</v>
      </c>
      <c r="AU88" s="72">
        <v>0</v>
      </c>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row>
    <row r="89" spans="1:142" ht="28.15" hidden="1" customHeight="1" x14ac:dyDescent="0.2">
      <c r="A89" s="1" t="s">
        <v>213</v>
      </c>
      <c r="B89" s="16">
        <f>+B16</f>
        <v>0</v>
      </c>
      <c r="C89" s="1">
        <v>0</v>
      </c>
      <c r="D89" s="1">
        <v>0</v>
      </c>
      <c r="E89" s="1">
        <v>0</v>
      </c>
      <c r="F89" s="126">
        <v>0</v>
      </c>
      <c r="G89" s="1">
        <f>IF(G16=$AD$6,$AE$6,(IF(G16=$AD$7,$AE$7,(IF(G16=$AD$8,$AE$8,0)))))</f>
        <v>0</v>
      </c>
      <c r="H89" s="1">
        <f>IF(C16&gt;1220,2,1)</f>
        <v>1</v>
      </c>
      <c r="I89" s="1">
        <f t="shared" si="35"/>
        <v>0</v>
      </c>
      <c r="J89" s="1">
        <f t="shared" si="36"/>
        <v>0</v>
      </c>
      <c r="K89" s="1" t="e">
        <f>(VLOOKUP(K16,$AG$5:$AH$7,2,FALSE))*H89</f>
        <v>#N/A</v>
      </c>
      <c r="L89" s="1"/>
      <c r="M89" s="1">
        <f>VLOOKUP(C16,$D$129:$H$134,5)</f>
        <v>178</v>
      </c>
      <c r="N89" s="6" t="e">
        <f t="shared" si="32"/>
        <v>#N/A</v>
      </c>
      <c r="P89" s="1" t="e">
        <f t="shared" si="37"/>
        <v>#N/A</v>
      </c>
      <c r="Q89" s="1">
        <f>+VLOOKUP(C16,$D$129:$M$134,10)</f>
        <v>2.5</v>
      </c>
      <c r="R89" s="1" t="e">
        <f t="shared" si="38"/>
        <v>#N/A</v>
      </c>
      <c r="S89" s="1">
        <f>VLOOKUP(C16,$D$124:$M$128,10)</f>
        <v>5</v>
      </c>
      <c r="T89" s="1">
        <f t="shared" si="39"/>
        <v>-178</v>
      </c>
      <c r="U89" s="1" t="e">
        <f t="shared" si="40"/>
        <v>#N/A</v>
      </c>
      <c r="V89" s="4">
        <f>VLOOKUP(C16,$D$135:$L$145,5)*B89</f>
        <v>0</v>
      </c>
      <c r="W89" s="4">
        <f>VLOOKUP(C16,$D$146:$H$151,5)*B89</f>
        <v>0</v>
      </c>
      <c r="X89" s="4">
        <f t="shared" si="33"/>
        <v>0</v>
      </c>
      <c r="Y89" s="4">
        <f t="shared" si="33"/>
        <v>0</v>
      </c>
      <c r="Z89" s="4">
        <f t="shared" si="41"/>
        <v>0</v>
      </c>
      <c r="AA89" s="4">
        <f t="shared" si="42"/>
        <v>0</v>
      </c>
      <c r="AB89" s="4">
        <v>0</v>
      </c>
      <c r="AC89" s="9">
        <v>10</v>
      </c>
      <c r="AD89" s="4">
        <v>15</v>
      </c>
      <c r="AE89" s="4">
        <v>18</v>
      </c>
      <c r="AF89" s="4">
        <v>80</v>
      </c>
      <c r="AG89" s="4">
        <v>70</v>
      </c>
      <c r="AH89" s="1">
        <v>60</v>
      </c>
      <c r="AI89" s="17" t="e">
        <f t="shared" si="34"/>
        <v>#N/A</v>
      </c>
      <c r="AJ89" s="27">
        <f t="shared" si="43"/>
        <v>1</v>
      </c>
      <c r="AL89" s="1">
        <f t="shared" si="44"/>
        <v>0</v>
      </c>
      <c r="AM89" s="5" t="s">
        <v>214</v>
      </c>
      <c r="AN89" s="6" t="s">
        <v>215</v>
      </c>
      <c r="AO89" s="1">
        <v>2</v>
      </c>
      <c r="AP89" s="71">
        <v>0</v>
      </c>
      <c r="AQ89" s="1">
        <f>VLOOKUP(C16,$D$124:$U$128,18)</f>
        <v>48</v>
      </c>
      <c r="AR89" s="6" t="e">
        <f t="shared" si="45"/>
        <v>#N/A</v>
      </c>
      <c r="AS89" s="1">
        <f>VLOOKUP(C16,$D$124:$V$128,19)</f>
        <v>68</v>
      </c>
      <c r="AT89" s="61" t="e">
        <f t="shared" si="46"/>
        <v>#N/A</v>
      </c>
      <c r="AU89" s="72">
        <v>0</v>
      </c>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row>
    <row r="90" spans="1:142" ht="28.15" hidden="1" customHeight="1" x14ac:dyDescent="0.2">
      <c r="A90" s="1" t="s">
        <v>216</v>
      </c>
      <c r="B90" s="16">
        <f>+B17</f>
        <v>0</v>
      </c>
      <c r="C90" s="1">
        <v>0</v>
      </c>
      <c r="D90" s="1">
        <v>0</v>
      </c>
      <c r="E90" s="1">
        <v>0</v>
      </c>
      <c r="F90" s="126">
        <v>0</v>
      </c>
      <c r="G90" s="1">
        <f>IF(G17=$AD$6,$AE$6,(IF(G17=$AD$7,$AE$7,(IF(G17=$AD$8,$AE$8,0)))))</f>
        <v>0</v>
      </c>
      <c r="H90" s="1">
        <f>IF(C17&gt;1220,2,1)</f>
        <v>1</v>
      </c>
      <c r="I90" s="1">
        <f t="shared" si="35"/>
        <v>0</v>
      </c>
      <c r="J90" s="1">
        <f t="shared" si="36"/>
        <v>0</v>
      </c>
      <c r="K90" s="1" t="e">
        <f>(VLOOKUP(K17,$AG$5:$AH$7,2,FALSE))*H90</f>
        <v>#N/A</v>
      </c>
      <c r="L90" s="1"/>
      <c r="M90" s="1">
        <f>VLOOKUP(C17,$D$129:$H$134,5)</f>
        <v>178</v>
      </c>
      <c r="N90" s="6" t="e">
        <f t="shared" si="32"/>
        <v>#N/A</v>
      </c>
      <c r="P90" s="1" t="e">
        <f t="shared" si="37"/>
        <v>#N/A</v>
      </c>
      <c r="Q90" s="1">
        <f>+VLOOKUP(C17,$D$129:$M$134,10)</f>
        <v>2.5</v>
      </c>
      <c r="R90" s="1" t="e">
        <f t="shared" si="38"/>
        <v>#N/A</v>
      </c>
      <c r="S90" s="1">
        <f>VLOOKUP(C17,$D$124:$M$128,10)</f>
        <v>5</v>
      </c>
      <c r="T90" s="1">
        <f t="shared" si="39"/>
        <v>-178</v>
      </c>
      <c r="U90" s="1" t="e">
        <f t="shared" si="40"/>
        <v>#N/A</v>
      </c>
      <c r="V90" s="4">
        <f>VLOOKUP(C17,$D$135:$L$145,5)*B90</f>
        <v>0</v>
      </c>
      <c r="W90" s="4">
        <f>VLOOKUP(C17,$D$146:$H$151,5)*B90</f>
        <v>0</v>
      </c>
      <c r="X90" s="4">
        <f t="shared" si="33"/>
        <v>0</v>
      </c>
      <c r="Y90" s="4">
        <f t="shared" si="33"/>
        <v>0</v>
      </c>
      <c r="Z90" s="4">
        <f t="shared" si="41"/>
        <v>0</v>
      </c>
      <c r="AA90" s="4">
        <f t="shared" si="42"/>
        <v>0</v>
      </c>
      <c r="AB90" s="1">
        <v>0</v>
      </c>
      <c r="AC90" s="9">
        <v>20</v>
      </c>
      <c r="AD90" s="4">
        <v>20</v>
      </c>
      <c r="AE90" s="4">
        <v>24</v>
      </c>
      <c r="AF90" s="4">
        <v>89.5</v>
      </c>
      <c r="AG90" s="4">
        <v>78.75</v>
      </c>
      <c r="AH90" s="1">
        <v>65</v>
      </c>
      <c r="AI90" s="17" t="e">
        <f t="shared" si="34"/>
        <v>#N/A</v>
      </c>
      <c r="AJ90" s="27">
        <f t="shared" si="43"/>
        <v>1</v>
      </c>
      <c r="AL90" s="1">
        <f t="shared" si="44"/>
        <v>0</v>
      </c>
      <c r="AM90" s="5" t="s">
        <v>217</v>
      </c>
      <c r="AN90" s="6" t="s">
        <v>218</v>
      </c>
      <c r="AO90" s="1">
        <v>1</v>
      </c>
      <c r="AP90" s="71">
        <v>0</v>
      </c>
      <c r="AQ90" s="1">
        <f>VLOOKUP(C17,$D$124:$U$128,18)</f>
        <v>48</v>
      </c>
      <c r="AR90" s="6" t="e">
        <f t="shared" si="45"/>
        <v>#N/A</v>
      </c>
      <c r="AS90" s="1">
        <f>VLOOKUP(C17,$D$124:$V$128,19)</f>
        <v>68</v>
      </c>
      <c r="AT90" s="61" t="e">
        <f t="shared" si="46"/>
        <v>#N/A</v>
      </c>
      <c r="AU90" s="72">
        <v>0</v>
      </c>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row>
    <row r="91" spans="1:142" ht="28.15" hidden="1" customHeight="1" x14ac:dyDescent="0.2">
      <c r="A91" s="1" t="s">
        <v>219</v>
      </c>
      <c r="B91" s="16">
        <f>+B18</f>
        <v>0</v>
      </c>
      <c r="C91" s="1">
        <v>0</v>
      </c>
      <c r="D91" s="1">
        <v>0</v>
      </c>
      <c r="E91" s="1">
        <v>0</v>
      </c>
      <c r="F91" s="126">
        <v>0</v>
      </c>
      <c r="G91" s="1">
        <f>IF(G18=$AD$6,$AE$6,(IF(G18=$AD$7,$AE$7,(IF(G18=$AD$8,$AE$8,0)))))</f>
        <v>0</v>
      </c>
      <c r="H91" s="1">
        <f>IF(C18&gt;1220,2,1)</f>
        <v>1</v>
      </c>
      <c r="I91" s="1">
        <f t="shared" si="35"/>
        <v>0</v>
      </c>
      <c r="J91" s="1">
        <f t="shared" si="36"/>
        <v>0</v>
      </c>
      <c r="K91" s="1" t="e">
        <f>(VLOOKUP(K18,$AG$5:$AH$7,2,FALSE))*H91</f>
        <v>#N/A</v>
      </c>
      <c r="L91" s="1"/>
      <c r="M91" s="1">
        <f>VLOOKUP(C18,$D$129:$H$134,5)</f>
        <v>178</v>
      </c>
      <c r="N91" s="6" t="e">
        <f t="shared" si="32"/>
        <v>#N/A</v>
      </c>
      <c r="P91" s="1" t="e">
        <f t="shared" si="37"/>
        <v>#N/A</v>
      </c>
      <c r="Q91" s="1">
        <f>+VLOOKUP(C18,$D$129:$M$134,10)</f>
        <v>2.5</v>
      </c>
      <c r="R91" s="1" t="e">
        <f t="shared" si="38"/>
        <v>#N/A</v>
      </c>
      <c r="S91" s="1">
        <f>VLOOKUP(C18,$D$124:$M$128,10)</f>
        <v>5</v>
      </c>
      <c r="T91" s="1">
        <f t="shared" si="39"/>
        <v>-178</v>
      </c>
      <c r="U91" s="1" t="e">
        <f t="shared" si="40"/>
        <v>#N/A</v>
      </c>
      <c r="V91" s="4">
        <f>VLOOKUP(C18,$D$135:$L$145,5)*B91</f>
        <v>0</v>
      </c>
      <c r="W91" s="4">
        <f>VLOOKUP(C18,$D$146:$H$151,5)*B91</f>
        <v>0</v>
      </c>
      <c r="X91" s="4">
        <f t="shared" si="33"/>
        <v>0</v>
      </c>
      <c r="Y91" s="4">
        <f t="shared" si="33"/>
        <v>0</v>
      </c>
      <c r="Z91" s="4">
        <f t="shared" si="41"/>
        <v>0</v>
      </c>
      <c r="AA91" s="4">
        <f t="shared" si="42"/>
        <v>0</v>
      </c>
      <c r="AB91" s="1">
        <v>0</v>
      </c>
      <c r="AC91" s="9">
        <v>30</v>
      </c>
      <c r="AD91" s="4">
        <v>25</v>
      </c>
      <c r="AE91" s="4">
        <v>30</v>
      </c>
      <c r="AF91" s="4">
        <v>99</v>
      </c>
      <c r="AG91" s="4">
        <v>87.5</v>
      </c>
      <c r="AH91" s="1">
        <v>70</v>
      </c>
      <c r="AI91" s="17" t="e">
        <f t="shared" si="34"/>
        <v>#N/A</v>
      </c>
      <c r="AJ91" s="27">
        <f t="shared" si="43"/>
        <v>1</v>
      </c>
      <c r="AL91" s="1">
        <f t="shared" si="44"/>
        <v>0</v>
      </c>
      <c r="AM91" s="5" t="s">
        <v>220</v>
      </c>
      <c r="AN91" s="6" t="s">
        <v>221</v>
      </c>
      <c r="AO91" s="1">
        <v>1</v>
      </c>
      <c r="AP91" s="71">
        <v>0</v>
      </c>
      <c r="AQ91" s="1">
        <f>VLOOKUP(C18,$D$124:$U$128,18)</f>
        <v>48</v>
      </c>
      <c r="AR91" s="6" t="e">
        <f t="shared" ref="AR91" si="47">+AB18</f>
        <v>#N/A</v>
      </c>
      <c r="AS91" s="1">
        <f>VLOOKUP(C18,$D$124:$V$128,19)</f>
        <v>68</v>
      </c>
      <c r="AT91" s="61" t="e">
        <f t="shared" ref="AT91" si="48">+AK18</f>
        <v>#N/A</v>
      </c>
      <c r="AU91" s="72">
        <v>0</v>
      </c>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row>
    <row r="92" spans="1:142" s="79" customFormat="1" ht="28.15" hidden="1" customHeight="1" x14ac:dyDescent="0.2">
      <c r="A92" s="73" t="s">
        <v>222</v>
      </c>
      <c r="B92" s="74">
        <f t="shared" ref="B92:B101" si="49">+B21</f>
        <v>1</v>
      </c>
      <c r="C92" s="73">
        <v>0</v>
      </c>
      <c r="D92" s="73">
        <v>0</v>
      </c>
      <c r="E92" s="73">
        <v>0</v>
      </c>
      <c r="F92" s="1">
        <f>IF(F21=$AB$5,$Z$5,(IF(F21=$AB$6,$Z$6,(IF(F21=$AB$8,AU92,(IF(F21=$AB$7,AP92,(IF(F21=$AB$9,AU92,("error"))))))))))</f>
        <v>0</v>
      </c>
      <c r="G92" s="73">
        <f t="shared" ref="G92:G101" si="50">IF(G21=$AD$6,$AE$6,(IF(G21=$AD$7,$AE$7,(IF(G21=$AD$8,$AE$8,0)))))</f>
        <v>0</v>
      </c>
      <c r="H92" s="73">
        <v>0</v>
      </c>
      <c r="I92" s="73">
        <v>0</v>
      </c>
      <c r="J92" s="73">
        <v>0</v>
      </c>
      <c r="K92" s="73">
        <f t="shared" ref="K92:K101" si="51">VLOOKUP(K21,$AG$5:$AH$7,2,FALSE)</f>
        <v>20</v>
      </c>
      <c r="L92" s="73"/>
      <c r="M92" s="73">
        <f t="shared" ref="M92:M101" si="52">VLOOKUP(C21,$D$129:$H$134,5)</f>
        <v>223</v>
      </c>
      <c r="N92" s="75" t="e">
        <f t="shared" ref="N92:N108" si="53">VLOOKUP(C19,$D$124:$H$128,5)+AI92</f>
        <v>#N/A</v>
      </c>
      <c r="O92" s="73"/>
      <c r="P92" s="73">
        <f>+(((M92+F92)+K92+G92)*B92)</f>
        <v>243</v>
      </c>
      <c r="Q92" s="73">
        <f t="shared" ref="Q92:Q101" si="54">+VLOOKUP(C21,$D$129:$M$134,10)</f>
        <v>4.75</v>
      </c>
      <c r="R92" s="73" t="e">
        <f t="shared" ref="R92:R108" si="55">+((N92*F92)+G92+K92+I92)*B92</f>
        <v>#N/A</v>
      </c>
      <c r="S92" s="73">
        <f t="shared" ref="S92:S101" si="56">VLOOKUP(C21,$D$124:$M$128,10)</f>
        <v>10</v>
      </c>
      <c r="T92" s="73">
        <f t="shared" si="39"/>
        <v>-223</v>
      </c>
      <c r="U92" s="73" t="e">
        <f t="shared" si="40"/>
        <v>#N/A</v>
      </c>
      <c r="V92" s="76">
        <f t="shared" ref="V92:V101" si="57">VLOOKUP(C21,$D$135:$L$145,5)*B92</f>
        <v>1343</v>
      </c>
      <c r="W92" s="76">
        <f t="shared" ref="W92:W101" si="58">VLOOKUP(C21,$D$146:$H$151,5)*B92</f>
        <v>513</v>
      </c>
      <c r="X92" s="76">
        <f>+X$84*$B92</f>
        <v>25</v>
      </c>
      <c r="Y92" s="76">
        <f>+Y$84*$B92</f>
        <v>14.5</v>
      </c>
      <c r="Z92" s="76">
        <f t="shared" si="41"/>
        <v>20</v>
      </c>
      <c r="AA92" s="76">
        <f>(VLOOKUP(C21,$Z$76:$AA$79,2,TRUE))*B92</f>
        <v>62</v>
      </c>
      <c r="AB92" s="73">
        <v>0</v>
      </c>
      <c r="AC92" s="77">
        <v>40</v>
      </c>
      <c r="AD92" s="76">
        <v>30</v>
      </c>
      <c r="AE92" s="76">
        <v>36</v>
      </c>
      <c r="AF92" s="76">
        <v>108.5</v>
      </c>
      <c r="AG92" s="76">
        <v>96.25</v>
      </c>
      <c r="AH92" s="73">
        <v>75</v>
      </c>
      <c r="AI92" s="75" t="e">
        <f t="shared" si="34"/>
        <v>#N/A</v>
      </c>
      <c r="AJ92" s="73">
        <f t="shared" si="43"/>
        <v>1</v>
      </c>
      <c r="AK92" s="73"/>
      <c r="AL92" s="73">
        <f t="shared" si="44"/>
        <v>3</v>
      </c>
      <c r="AM92" s="78" t="s">
        <v>223</v>
      </c>
      <c r="AN92" s="75" t="s">
        <v>224</v>
      </c>
      <c r="AO92" s="73">
        <v>3</v>
      </c>
      <c r="AP92" s="71">
        <f t="shared" ref="AP92" si="59">+AQ92+AR92</f>
        <v>57</v>
      </c>
      <c r="AQ92" s="1">
        <f t="shared" ref="AQ92:AQ101" si="60">VLOOKUP(C21,$D$129:$V$134,18)</f>
        <v>57</v>
      </c>
      <c r="AR92" s="6"/>
      <c r="AS92" s="1">
        <f t="shared" ref="AS92:AS101" si="61">VLOOKUP(C21,$D$129:$V$134,19)</f>
        <v>79</v>
      </c>
      <c r="AT92" s="61"/>
      <c r="AU92" s="72">
        <f t="shared" ref="AU92" si="62">+AT92+AS92</f>
        <v>79</v>
      </c>
      <c r="AV92" s="73"/>
      <c r="AW92" s="73"/>
      <c r="AX92" s="73"/>
      <c r="AY92" s="73"/>
      <c r="AZ92" s="73"/>
      <c r="BA92" s="73"/>
      <c r="BB92" s="73"/>
      <c r="BC92" s="73"/>
      <c r="BD92" s="73"/>
      <c r="BE92" s="73"/>
      <c r="BF92" s="73"/>
      <c r="BG92" s="73"/>
      <c r="DA92" s="73"/>
      <c r="DB92" s="73"/>
      <c r="DC92" s="73"/>
      <c r="DD92" s="73"/>
      <c r="DE92" s="73"/>
      <c r="DF92" s="73"/>
      <c r="DG92" s="73"/>
      <c r="DH92" s="73"/>
      <c r="DI92" s="73"/>
      <c r="DJ92" s="73"/>
      <c r="DK92" s="73"/>
      <c r="DL92" s="73"/>
      <c r="DM92" s="73"/>
      <c r="DN92" s="73"/>
      <c r="DO92" s="73"/>
      <c r="DP92" s="73"/>
      <c r="DQ92" s="73"/>
      <c r="DR92" s="73"/>
      <c r="DS92" s="73"/>
      <c r="DT92" s="73"/>
      <c r="DU92" s="73"/>
      <c r="DV92" s="73"/>
      <c r="DW92" s="73"/>
      <c r="DX92" s="73"/>
      <c r="DY92" s="73"/>
      <c r="DZ92" s="73"/>
      <c r="EA92" s="73"/>
      <c r="EB92" s="73"/>
      <c r="EC92" s="73"/>
      <c r="ED92" s="73"/>
      <c r="EE92" s="73"/>
      <c r="EF92" s="73"/>
      <c r="EG92" s="73"/>
      <c r="EH92" s="73"/>
      <c r="EI92" s="73"/>
      <c r="EJ92" s="73"/>
      <c r="EK92" s="73"/>
      <c r="EL92" s="73"/>
    </row>
    <row r="93" spans="1:142" s="79" customFormat="1" ht="28.15" hidden="1" customHeight="1" x14ac:dyDescent="0.2">
      <c r="A93" s="73" t="s">
        <v>225</v>
      </c>
      <c r="B93" s="74">
        <f t="shared" si="49"/>
        <v>1</v>
      </c>
      <c r="C93" s="73">
        <v>0</v>
      </c>
      <c r="D93" s="73">
        <v>0</v>
      </c>
      <c r="E93" s="73">
        <v>0</v>
      </c>
      <c r="F93" s="1">
        <f t="shared" ref="F93:F101" si="63">IF(F22=$AB$5,$Z$5,(IF(F22=$AB$6,$Z$6,(IF(F22=$AB$8,AU93,(IF(F22=$AB$7,AP93,(IF(F22=$AB$9,AU93,("error"))))))))))</f>
        <v>0</v>
      </c>
      <c r="G93" s="73">
        <f t="shared" si="50"/>
        <v>0</v>
      </c>
      <c r="H93" s="73">
        <v>0</v>
      </c>
      <c r="I93" s="73">
        <v>0</v>
      </c>
      <c r="J93" s="73">
        <v>0</v>
      </c>
      <c r="K93" s="73" t="e">
        <f>VLOOKUP(#REF!,$AG$5:$AH$7,2,FALSE)</f>
        <v>#REF!</v>
      </c>
      <c r="L93" s="73"/>
      <c r="M93" s="73">
        <f t="shared" si="52"/>
        <v>210</v>
      </c>
      <c r="N93" s="75" t="e">
        <f t="shared" si="53"/>
        <v>#N/A</v>
      </c>
      <c r="O93" s="73"/>
      <c r="P93" s="73" t="e">
        <f t="shared" ref="P93:P101" si="64">+(((M93+F93)+K93+G93)*B93)</f>
        <v>#REF!</v>
      </c>
      <c r="Q93" s="73">
        <f t="shared" si="54"/>
        <v>4</v>
      </c>
      <c r="R93" s="73" t="e">
        <f t="shared" si="55"/>
        <v>#N/A</v>
      </c>
      <c r="S93" s="73">
        <f t="shared" si="56"/>
        <v>5.5</v>
      </c>
      <c r="T93" s="73">
        <f t="shared" si="39"/>
        <v>-210</v>
      </c>
      <c r="U93" s="73" t="e">
        <f t="shared" si="40"/>
        <v>#N/A</v>
      </c>
      <c r="V93" s="76">
        <f t="shared" si="57"/>
        <v>1343</v>
      </c>
      <c r="W93" s="76">
        <f t="shared" si="58"/>
        <v>513</v>
      </c>
      <c r="X93" s="76">
        <f t="shared" ref="X93:Y101" si="65">+X$84*$B93</f>
        <v>25</v>
      </c>
      <c r="Y93" s="76">
        <f t="shared" si="65"/>
        <v>14.5</v>
      </c>
      <c r="Z93" s="76">
        <f t="shared" si="41"/>
        <v>20</v>
      </c>
      <c r="AA93" s="76">
        <f t="shared" ref="AA93:AA101" si="66">(VLOOKUP(C22,$Z$76:$AA$79,2,TRUE))*B93</f>
        <v>36</v>
      </c>
      <c r="AB93" s="73">
        <v>0</v>
      </c>
      <c r="AC93" s="73">
        <v>50</v>
      </c>
      <c r="AD93" s="76">
        <v>35</v>
      </c>
      <c r="AE93" s="76">
        <v>42</v>
      </c>
      <c r="AF93" s="76">
        <v>118</v>
      </c>
      <c r="AG93" s="76">
        <v>105</v>
      </c>
      <c r="AH93" s="73">
        <v>80</v>
      </c>
      <c r="AI93" s="75" t="e">
        <f t="shared" si="34"/>
        <v>#N/A</v>
      </c>
      <c r="AJ93" s="73">
        <f t="shared" si="43"/>
        <v>2</v>
      </c>
      <c r="AK93" s="73"/>
      <c r="AL93" s="73">
        <f t="shared" si="44"/>
        <v>3</v>
      </c>
      <c r="AM93" s="78" t="s">
        <v>226</v>
      </c>
      <c r="AN93" s="75" t="s">
        <v>227</v>
      </c>
      <c r="AO93" s="73">
        <v>1</v>
      </c>
      <c r="AP93" s="71">
        <f t="shared" ref="AP93:AP101" si="67">+AQ93+AR93</f>
        <v>53</v>
      </c>
      <c r="AQ93" s="1">
        <f t="shared" si="60"/>
        <v>53</v>
      </c>
      <c r="AR93" s="6"/>
      <c r="AS93" s="1">
        <f t="shared" si="61"/>
        <v>73</v>
      </c>
      <c r="AT93" s="61"/>
      <c r="AU93" s="72">
        <f t="shared" ref="AU93:AU101" si="68">+AT93+AS93</f>
        <v>73</v>
      </c>
      <c r="AV93" s="73"/>
      <c r="AW93" s="73"/>
      <c r="AX93" s="73"/>
      <c r="AY93" s="73"/>
      <c r="AZ93" s="73"/>
      <c r="BA93" s="73"/>
      <c r="BB93" s="73"/>
      <c r="BC93" s="73"/>
      <c r="BD93" s="73"/>
      <c r="BE93" s="73"/>
      <c r="BF93" s="73"/>
      <c r="BG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73"/>
      <c r="EK93" s="73"/>
      <c r="EL93" s="73"/>
    </row>
    <row r="94" spans="1:142" s="79" customFormat="1" ht="28.15" hidden="1" customHeight="1" x14ac:dyDescent="0.2">
      <c r="A94" s="73" t="s">
        <v>228</v>
      </c>
      <c r="B94" s="74">
        <f t="shared" si="49"/>
        <v>1</v>
      </c>
      <c r="C94" s="73">
        <v>0</v>
      </c>
      <c r="D94" s="73">
        <v>0</v>
      </c>
      <c r="E94" s="73">
        <v>0</v>
      </c>
      <c r="F94" s="1">
        <f t="shared" si="63"/>
        <v>0</v>
      </c>
      <c r="G94" s="73">
        <f t="shared" si="50"/>
        <v>0</v>
      </c>
      <c r="H94" s="73">
        <v>0</v>
      </c>
      <c r="I94" s="73">
        <v>0</v>
      </c>
      <c r="J94" s="73">
        <v>0</v>
      </c>
      <c r="K94" s="73">
        <f>VLOOKUP(K22,$AG$5:$AH$7,2,FALSE)</f>
        <v>20</v>
      </c>
      <c r="L94" s="73"/>
      <c r="M94" s="73">
        <f t="shared" si="52"/>
        <v>223</v>
      </c>
      <c r="N94" s="75">
        <f t="shared" si="53"/>
        <v>376</v>
      </c>
      <c r="O94" s="73"/>
      <c r="P94" s="73">
        <f t="shared" si="64"/>
        <v>243</v>
      </c>
      <c r="Q94" s="73">
        <f t="shared" si="54"/>
        <v>4.75</v>
      </c>
      <c r="R94" s="73">
        <f t="shared" si="55"/>
        <v>20</v>
      </c>
      <c r="S94" s="73">
        <f t="shared" si="56"/>
        <v>10</v>
      </c>
      <c r="T94" s="73">
        <f t="shared" si="39"/>
        <v>-223</v>
      </c>
      <c r="U94" s="73">
        <f t="shared" si="40"/>
        <v>-376</v>
      </c>
      <c r="V94" s="76">
        <f t="shared" si="57"/>
        <v>1343</v>
      </c>
      <c r="W94" s="76">
        <f t="shared" si="58"/>
        <v>513</v>
      </c>
      <c r="X94" s="76">
        <f t="shared" si="65"/>
        <v>25</v>
      </c>
      <c r="Y94" s="76">
        <f t="shared" si="65"/>
        <v>14.5</v>
      </c>
      <c r="Z94" s="76">
        <f t="shared" si="41"/>
        <v>20</v>
      </c>
      <c r="AA94" s="76">
        <f t="shared" si="66"/>
        <v>62</v>
      </c>
      <c r="AB94" s="73">
        <v>0</v>
      </c>
      <c r="AC94" s="73">
        <v>60</v>
      </c>
      <c r="AD94" s="76">
        <v>40</v>
      </c>
      <c r="AE94" s="76">
        <v>48</v>
      </c>
      <c r="AF94" s="76">
        <v>127.5</v>
      </c>
      <c r="AG94" s="76">
        <v>113.75</v>
      </c>
      <c r="AH94" s="73">
        <v>85</v>
      </c>
      <c r="AI94" s="75">
        <f t="shared" si="34"/>
        <v>0</v>
      </c>
      <c r="AJ94" s="73">
        <f t="shared" si="43"/>
        <v>2</v>
      </c>
      <c r="AK94" s="73"/>
      <c r="AL94" s="73">
        <f t="shared" si="44"/>
        <v>3</v>
      </c>
      <c r="AM94" s="78" t="s">
        <v>229</v>
      </c>
      <c r="AN94" s="75" t="s">
        <v>230</v>
      </c>
      <c r="AO94" s="73">
        <v>1</v>
      </c>
      <c r="AP94" s="71">
        <f t="shared" si="67"/>
        <v>57</v>
      </c>
      <c r="AQ94" s="1">
        <f t="shared" si="60"/>
        <v>57</v>
      </c>
      <c r="AR94" s="6"/>
      <c r="AS94" s="1">
        <f t="shared" si="61"/>
        <v>79</v>
      </c>
      <c r="AT94" s="61"/>
      <c r="AU94" s="72">
        <f t="shared" si="68"/>
        <v>79</v>
      </c>
      <c r="AV94" s="73"/>
      <c r="AW94" s="73"/>
      <c r="AX94" s="73"/>
      <c r="AY94" s="73"/>
      <c r="AZ94" s="73"/>
      <c r="BA94" s="73"/>
      <c r="BB94" s="73"/>
      <c r="BC94" s="73"/>
      <c r="BD94" s="73"/>
      <c r="BE94" s="73"/>
      <c r="BF94" s="73"/>
      <c r="BG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row>
    <row r="95" spans="1:142" s="79" customFormat="1" ht="28.15" hidden="1" customHeight="1" x14ac:dyDescent="0.2">
      <c r="A95" s="73" t="s">
        <v>231</v>
      </c>
      <c r="B95" s="74">
        <f t="shared" si="49"/>
        <v>1</v>
      </c>
      <c r="C95" s="73">
        <v>0</v>
      </c>
      <c r="D95" s="73">
        <v>0</v>
      </c>
      <c r="E95" s="73">
        <v>0</v>
      </c>
      <c r="F95" s="1" t="str">
        <f t="shared" si="63"/>
        <v>error</v>
      </c>
      <c r="G95" s="73">
        <f t="shared" si="50"/>
        <v>0</v>
      </c>
      <c r="H95" s="73">
        <v>0</v>
      </c>
      <c r="I95" s="73">
        <v>0</v>
      </c>
      <c r="J95" s="73">
        <v>0</v>
      </c>
      <c r="K95" s="73">
        <f>VLOOKUP(K23,$AG$5:$AH$7,2,FALSE)</f>
        <v>20</v>
      </c>
      <c r="L95" s="73"/>
      <c r="M95" s="73">
        <f t="shared" si="52"/>
        <v>178</v>
      </c>
      <c r="N95" s="75">
        <f t="shared" si="53"/>
        <v>206</v>
      </c>
      <c r="O95" s="73"/>
      <c r="P95" s="73" t="e">
        <f t="shared" si="64"/>
        <v>#VALUE!</v>
      </c>
      <c r="Q95" s="73">
        <f t="shared" si="54"/>
        <v>2.5</v>
      </c>
      <c r="R95" s="73" t="e">
        <f t="shared" si="55"/>
        <v>#VALUE!</v>
      </c>
      <c r="S95" s="73">
        <f t="shared" si="56"/>
        <v>5</v>
      </c>
      <c r="T95" s="73" t="e">
        <f t="shared" si="39"/>
        <v>#VALUE!</v>
      </c>
      <c r="U95" s="73" t="e">
        <f t="shared" si="40"/>
        <v>#VALUE!</v>
      </c>
      <c r="V95" s="76">
        <f t="shared" si="57"/>
        <v>897</v>
      </c>
      <c r="W95" s="76">
        <f t="shared" si="58"/>
        <v>445</v>
      </c>
      <c r="X95" s="76">
        <f t="shared" si="65"/>
        <v>25</v>
      </c>
      <c r="Y95" s="76">
        <f t="shared" si="65"/>
        <v>14.5</v>
      </c>
      <c r="Z95" s="76">
        <f t="shared" si="41"/>
        <v>20</v>
      </c>
      <c r="AA95" s="76">
        <f t="shared" si="66"/>
        <v>31</v>
      </c>
      <c r="AB95" s="73">
        <v>0</v>
      </c>
      <c r="AC95" s="73">
        <v>70</v>
      </c>
      <c r="AD95" s="76">
        <v>45</v>
      </c>
      <c r="AE95" s="76">
        <v>54</v>
      </c>
      <c r="AF95" s="76">
        <v>137</v>
      </c>
      <c r="AG95" s="76">
        <v>122.5</v>
      </c>
      <c r="AH95" s="73">
        <v>90</v>
      </c>
      <c r="AI95" s="75">
        <f t="shared" si="34"/>
        <v>0</v>
      </c>
      <c r="AJ95" s="73">
        <f t="shared" si="43"/>
        <v>1</v>
      </c>
      <c r="AK95" s="73"/>
      <c r="AL95" s="73">
        <f t="shared" si="44"/>
        <v>3</v>
      </c>
      <c r="AM95" s="78" t="s">
        <v>232</v>
      </c>
      <c r="AN95" s="75" t="s">
        <v>233</v>
      </c>
      <c r="AO95" s="73">
        <v>1</v>
      </c>
      <c r="AP95" s="71">
        <f t="shared" si="67"/>
        <v>44</v>
      </c>
      <c r="AQ95" s="1">
        <f t="shared" si="60"/>
        <v>44</v>
      </c>
      <c r="AR95" s="6"/>
      <c r="AS95" s="1">
        <f t="shared" si="61"/>
        <v>62</v>
      </c>
      <c r="AT95" s="61"/>
      <c r="AU95" s="72">
        <f t="shared" si="68"/>
        <v>62</v>
      </c>
      <c r="AV95" s="73"/>
      <c r="AW95" s="73"/>
      <c r="AX95" s="73"/>
      <c r="AY95" s="73"/>
      <c r="AZ95" s="73"/>
      <c r="BA95" s="73"/>
      <c r="BB95" s="73"/>
      <c r="BC95" s="73"/>
      <c r="BD95" s="73"/>
      <c r="BE95" s="73"/>
      <c r="BF95" s="73"/>
      <c r="BG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row>
    <row r="96" spans="1:142" s="79" customFormat="1" ht="28.15" hidden="1" customHeight="1" x14ac:dyDescent="0.2">
      <c r="A96" s="73" t="s">
        <v>234</v>
      </c>
      <c r="B96" s="74">
        <f t="shared" si="49"/>
        <v>0</v>
      </c>
      <c r="C96" s="73">
        <v>0</v>
      </c>
      <c r="D96" s="73">
        <v>0</v>
      </c>
      <c r="E96" s="73">
        <v>0</v>
      </c>
      <c r="F96" s="1" t="str">
        <f t="shared" si="63"/>
        <v>error</v>
      </c>
      <c r="G96" s="73">
        <f t="shared" si="50"/>
        <v>0</v>
      </c>
      <c r="H96" s="73">
        <v>0</v>
      </c>
      <c r="I96" s="73">
        <v>0</v>
      </c>
      <c r="J96" s="73">
        <v>0</v>
      </c>
      <c r="K96" s="73" t="e">
        <f t="shared" si="51"/>
        <v>#N/A</v>
      </c>
      <c r="L96" s="73"/>
      <c r="M96" s="73">
        <f t="shared" si="52"/>
        <v>178</v>
      </c>
      <c r="N96" s="75">
        <f t="shared" si="53"/>
        <v>376</v>
      </c>
      <c r="O96" s="73"/>
      <c r="P96" s="73" t="e">
        <f t="shared" si="64"/>
        <v>#VALUE!</v>
      </c>
      <c r="Q96" s="73">
        <f t="shared" si="54"/>
        <v>2.5</v>
      </c>
      <c r="R96" s="73" t="e">
        <f t="shared" si="55"/>
        <v>#VALUE!</v>
      </c>
      <c r="S96" s="73">
        <f t="shared" si="56"/>
        <v>5</v>
      </c>
      <c r="T96" s="73" t="e">
        <f t="shared" si="39"/>
        <v>#VALUE!</v>
      </c>
      <c r="U96" s="73" t="e">
        <f t="shared" si="40"/>
        <v>#VALUE!</v>
      </c>
      <c r="V96" s="76">
        <f t="shared" si="57"/>
        <v>0</v>
      </c>
      <c r="W96" s="76">
        <f t="shared" si="58"/>
        <v>0</v>
      </c>
      <c r="X96" s="76">
        <f t="shared" si="65"/>
        <v>0</v>
      </c>
      <c r="Y96" s="76">
        <f t="shared" si="65"/>
        <v>0</v>
      </c>
      <c r="Z96" s="76">
        <f t="shared" si="41"/>
        <v>0</v>
      </c>
      <c r="AA96" s="76">
        <f t="shared" si="66"/>
        <v>0</v>
      </c>
      <c r="AB96" s="73">
        <v>0</v>
      </c>
      <c r="AC96" s="73">
        <v>80</v>
      </c>
      <c r="AD96" s="76">
        <v>50</v>
      </c>
      <c r="AE96" s="76">
        <v>60</v>
      </c>
      <c r="AF96" s="76">
        <v>146.5</v>
      </c>
      <c r="AG96" s="76">
        <v>131.25</v>
      </c>
      <c r="AH96" s="73">
        <v>95</v>
      </c>
      <c r="AI96" s="75">
        <f t="shared" si="34"/>
        <v>0</v>
      </c>
      <c r="AJ96" s="73">
        <f t="shared" si="43"/>
        <v>2</v>
      </c>
      <c r="AK96" s="73"/>
      <c r="AL96" s="73">
        <f t="shared" si="44"/>
        <v>0</v>
      </c>
      <c r="AM96" s="78" t="s">
        <v>235</v>
      </c>
      <c r="AN96" s="75" t="s">
        <v>236</v>
      </c>
      <c r="AO96" s="73">
        <v>1</v>
      </c>
      <c r="AP96" s="71">
        <f t="shared" si="67"/>
        <v>44</v>
      </c>
      <c r="AQ96" s="1">
        <f t="shared" si="60"/>
        <v>44</v>
      </c>
      <c r="AR96" s="6"/>
      <c r="AS96" s="1">
        <f t="shared" si="61"/>
        <v>62</v>
      </c>
      <c r="AT96" s="61"/>
      <c r="AU96" s="72">
        <f t="shared" si="68"/>
        <v>62</v>
      </c>
      <c r="AV96" s="73"/>
      <c r="AW96" s="73"/>
      <c r="AX96" s="73"/>
      <c r="AY96" s="73"/>
      <c r="AZ96" s="73"/>
      <c r="BA96" s="73"/>
      <c r="BB96" s="73"/>
      <c r="BC96" s="73"/>
      <c r="BD96" s="73"/>
      <c r="BE96" s="73"/>
      <c r="BF96" s="73"/>
      <c r="BG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row>
    <row r="97" spans="1:142" s="79" customFormat="1" ht="28.15" hidden="1" customHeight="1" x14ac:dyDescent="0.2">
      <c r="A97" s="73" t="s">
        <v>237</v>
      </c>
      <c r="B97" s="74">
        <f t="shared" si="49"/>
        <v>0</v>
      </c>
      <c r="C97" s="73">
        <v>0</v>
      </c>
      <c r="D97" s="73">
        <v>0</v>
      </c>
      <c r="E97" s="73">
        <v>0</v>
      </c>
      <c r="F97" s="1" t="str">
        <f t="shared" si="63"/>
        <v>error</v>
      </c>
      <c r="G97" s="73">
        <f t="shared" si="50"/>
        <v>0</v>
      </c>
      <c r="H97" s="73">
        <v>0</v>
      </c>
      <c r="I97" s="73">
        <v>0</v>
      </c>
      <c r="J97" s="73">
        <v>0</v>
      </c>
      <c r="K97" s="73" t="e">
        <f t="shared" si="51"/>
        <v>#N/A</v>
      </c>
      <c r="L97" s="73"/>
      <c r="M97" s="73">
        <f t="shared" si="52"/>
        <v>178</v>
      </c>
      <c r="N97" s="75" t="e">
        <f t="shared" si="53"/>
        <v>#N/A</v>
      </c>
      <c r="O97" s="73"/>
      <c r="P97" s="73" t="e">
        <f t="shared" si="64"/>
        <v>#VALUE!</v>
      </c>
      <c r="Q97" s="73">
        <f t="shared" si="54"/>
        <v>2.5</v>
      </c>
      <c r="R97" s="73" t="e">
        <f t="shared" si="55"/>
        <v>#N/A</v>
      </c>
      <c r="S97" s="73">
        <f t="shared" si="56"/>
        <v>5</v>
      </c>
      <c r="T97" s="73" t="e">
        <f t="shared" si="39"/>
        <v>#VALUE!</v>
      </c>
      <c r="U97" s="73" t="e">
        <f t="shared" si="40"/>
        <v>#N/A</v>
      </c>
      <c r="V97" s="76">
        <f t="shared" si="57"/>
        <v>0</v>
      </c>
      <c r="W97" s="76">
        <f t="shared" si="58"/>
        <v>0</v>
      </c>
      <c r="X97" s="76">
        <f t="shared" si="65"/>
        <v>0</v>
      </c>
      <c r="Y97" s="76">
        <f t="shared" si="65"/>
        <v>0</v>
      </c>
      <c r="Z97" s="76">
        <f t="shared" si="41"/>
        <v>0</v>
      </c>
      <c r="AA97" s="76">
        <f t="shared" si="66"/>
        <v>0</v>
      </c>
      <c r="AB97" s="73">
        <v>0</v>
      </c>
      <c r="AC97" s="73">
        <v>90</v>
      </c>
      <c r="AD97" s="73" t="s">
        <v>238</v>
      </c>
      <c r="AE97" s="73" t="s">
        <v>238</v>
      </c>
      <c r="AF97" s="73" t="s">
        <v>238</v>
      </c>
      <c r="AG97" s="73" t="s">
        <v>238</v>
      </c>
      <c r="AH97" s="73" t="s">
        <v>238</v>
      </c>
      <c r="AI97" s="75" t="e">
        <f t="shared" si="34"/>
        <v>#N/A</v>
      </c>
      <c r="AJ97" s="73">
        <f t="shared" si="43"/>
        <v>1</v>
      </c>
      <c r="AK97" s="73"/>
      <c r="AL97" s="73">
        <f t="shared" si="44"/>
        <v>0</v>
      </c>
      <c r="AM97" s="78" t="s">
        <v>239</v>
      </c>
      <c r="AN97" s="75" t="s">
        <v>240</v>
      </c>
      <c r="AO97" s="73">
        <v>1</v>
      </c>
      <c r="AP97" s="71">
        <f t="shared" si="67"/>
        <v>44</v>
      </c>
      <c r="AQ97" s="1">
        <f t="shared" si="60"/>
        <v>44</v>
      </c>
      <c r="AR97" s="6"/>
      <c r="AS97" s="1">
        <f t="shared" si="61"/>
        <v>62</v>
      </c>
      <c r="AT97" s="61"/>
      <c r="AU97" s="72">
        <f t="shared" si="68"/>
        <v>62</v>
      </c>
      <c r="AV97" s="73"/>
      <c r="AW97" s="73"/>
      <c r="AX97" s="73"/>
      <c r="AY97" s="73"/>
      <c r="AZ97" s="73"/>
      <c r="BA97" s="73"/>
      <c r="BB97" s="73"/>
      <c r="BC97" s="73"/>
      <c r="BD97" s="73"/>
      <c r="BE97" s="73"/>
      <c r="BF97" s="73"/>
      <c r="BG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row>
    <row r="98" spans="1:142" s="79" customFormat="1" ht="28.15" hidden="1" customHeight="1" x14ac:dyDescent="0.2">
      <c r="A98" s="73" t="s">
        <v>241</v>
      </c>
      <c r="B98" s="74">
        <f t="shared" si="49"/>
        <v>0</v>
      </c>
      <c r="C98" s="73">
        <v>0</v>
      </c>
      <c r="D98" s="73">
        <v>0</v>
      </c>
      <c r="E98" s="73">
        <v>0</v>
      </c>
      <c r="F98" s="1" t="str">
        <f t="shared" si="63"/>
        <v>error</v>
      </c>
      <c r="G98" s="73">
        <f t="shared" si="50"/>
        <v>0</v>
      </c>
      <c r="H98" s="73">
        <v>0</v>
      </c>
      <c r="I98" s="73">
        <v>0</v>
      </c>
      <c r="J98" s="73">
        <v>0</v>
      </c>
      <c r="K98" s="73" t="e">
        <f t="shared" si="51"/>
        <v>#N/A</v>
      </c>
      <c r="L98" s="73"/>
      <c r="M98" s="73">
        <f t="shared" si="52"/>
        <v>178</v>
      </c>
      <c r="N98" s="75" t="e">
        <f t="shared" si="53"/>
        <v>#N/A</v>
      </c>
      <c r="O98" s="73"/>
      <c r="P98" s="73" t="e">
        <f t="shared" si="64"/>
        <v>#VALUE!</v>
      </c>
      <c r="Q98" s="73">
        <f t="shared" si="54"/>
        <v>2.5</v>
      </c>
      <c r="R98" s="73" t="e">
        <f t="shared" si="55"/>
        <v>#N/A</v>
      </c>
      <c r="S98" s="73">
        <f t="shared" si="56"/>
        <v>5</v>
      </c>
      <c r="T98" s="73" t="e">
        <f t="shared" si="39"/>
        <v>#VALUE!</v>
      </c>
      <c r="U98" s="73" t="e">
        <f t="shared" si="40"/>
        <v>#N/A</v>
      </c>
      <c r="V98" s="76">
        <f t="shared" si="57"/>
        <v>0</v>
      </c>
      <c r="W98" s="76">
        <f t="shared" si="58"/>
        <v>0</v>
      </c>
      <c r="X98" s="76">
        <f t="shared" si="65"/>
        <v>0</v>
      </c>
      <c r="Y98" s="76">
        <f t="shared" si="65"/>
        <v>0</v>
      </c>
      <c r="Z98" s="76">
        <f t="shared" si="41"/>
        <v>0</v>
      </c>
      <c r="AA98" s="76">
        <f t="shared" si="66"/>
        <v>0</v>
      </c>
      <c r="AB98" s="73">
        <v>0</v>
      </c>
      <c r="AC98" s="73"/>
      <c r="AD98" s="73"/>
      <c r="AE98" s="73"/>
      <c r="AF98" s="73"/>
      <c r="AG98" s="73"/>
      <c r="AH98" s="73"/>
      <c r="AI98" s="75" t="e">
        <f t="shared" si="34"/>
        <v>#N/A</v>
      </c>
      <c r="AJ98" s="73">
        <f t="shared" si="43"/>
        <v>1</v>
      </c>
      <c r="AK98" s="73"/>
      <c r="AL98" s="73">
        <f t="shared" si="44"/>
        <v>0</v>
      </c>
      <c r="AM98" s="78" t="s">
        <v>242</v>
      </c>
      <c r="AN98" s="75" t="s">
        <v>243</v>
      </c>
      <c r="AO98" s="73">
        <v>3</v>
      </c>
      <c r="AP98" s="71">
        <f t="shared" si="67"/>
        <v>44</v>
      </c>
      <c r="AQ98" s="1">
        <f t="shared" si="60"/>
        <v>44</v>
      </c>
      <c r="AR98" s="6"/>
      <c r="AS98" s="1">
        <f t="shared" si="61"/>
        <v>62</v>
      </c>
      <c r="AT98" s="61"/>
      <c r="AU98" s="72">
        <f t="shared" si="68"/>
        <v>62</v>
      </c>
      <c r="AV98" s="73"/>
      <c r="AW98" s="73"/>
      <c r="AX98" s="73"/>
      <c r="AY98" s="73"/>
      <c r="AZ98" s="73"/>
      <c r="BA98" s="73"/>
      <c r="BB98" s="73"/>
      <c r="BC98" s="73"/>
      <c r="BD98" s="73"/>
      <c r="BE98" s="73"/>
      <c r="BF98" s="73"/>
      <c r="BG98" s="73"/>
      <c r="DA98" s="73"/>
      <c r="DB98" s="73"/>
      <c r="DC98" s="73"/>
      <c r="DD98" s="73"/>
      <c r="DE98" s="73"/>
      <c r="DF98" s="73"/>
      <c r="DG98" s="73"/>
      <c r="DH98" s="73"/>
      <c r="DI98" s="73"/>
      <c r="DJ98" s="73"/>
      <c r="DK98" s="73"/>
      <c r="DL98" s="73"/>
      <c r="DM98" s="73"/>
      <c r="DN98" s="73"/>
      <c r="DO98" s="73"/>
      <c r="DP98" s="73"/>
      <c r="DQ98" s="73"/>
      <c r="DR98" s="73"/>
      <c r="DS98" s="73"/>
      <c r="DT98" s="73"/>
      <c r="DU98" s="73"/>
      <c r="DV98" s="73"/>
      <c r="DW98" s="73"/>
      <c r="DX98" s="73"/>
      <c r="DY98" s="73"/>
      <c r="DZ98" s="73"/>
      <c r="EA98" s="73"/>
      <c r="EB98" s="73"/>
      <c r="EC98" s="73"/>
      <c r="ED98" s="73"/>
      <c r="EE98" s="73"/>
      <c r="EF98" s="73"/>
      <c r="EG98" s="73"/>
      <c r="EH98" s="73"/>
      <c r="EI98" s="73"/>
      <c r="EJ98" s="73"/>
      <c r="EK98" s="73"/>
      <c r="EL98" s="73"/>
    </row>
    <row r="99" spans="1:142" s="79" customFormat="1" ht="28.15" hidden="1" customHeight="1" x14ac:dyDescent="0.2">
      <c r="A99" s="73" t="s">
        <v>244</v>
      </c>
      <c r="B99" s="74">
        <f t="shared" si="49"/>
        <v>0</v>
      </c>
      <c r="C99" s="73">
        <v>0</v>
      </c>
      <c r="D99" s="73">
        <v>0</v>
      </c>
      <c r="E99" s="73">
        <v>0</v>
      </c>
      <c r="F99" s="1" t="str">
        <f t="shared" si="63"/>
        <v>error</v>
      </c>
      <c r="G99" s="73">
        <f t="shared" si="50"/>
        <v>0</v>
      </c>
      <c r="H99" s="73">
        <v>0</v>
      </c>
      <c r="I99" s="73">
        <v>0</v>
      </c>
      <c r="J99" s="73">
        <v>0</v>
      </c>
      <c r="K99" s="73" t="e">
        <f t="shared" si="51"/>
        <v>#N/A</v>
      </c>
      <c r="L99" s="73"/>
      <c r="M99" s="73">
        <f t="shared" si="52"/>
        <v>178</v>
      </c>
      <c r="N99" s="75">
        <f t="shared" si="53"/>
        <v>194</v>
      </c>
      <c r="O99" s="73"/>
      <c r="P99" s="73" t="e">
        <f t="shared" si="64"/>
        <v>#VALUE!</v>
      </c>
      <c r="Q99" s="73">
        <f t="shared" si="54"/>
        <v>2.5</v>
      </c>
      <c r="R99" s="73" t="e">
        <f t="shared" si="55"/>
        <v>#VALUE!</v>
      </c>
      <c r="S99" s="73">
        <f t="shared" si="56"/>
        <v>5</v>
      </c>
      <c r="T99" s="73" t="e">
        <f t="shared" si="39"/>
        <v>#VALUE!</v>
      </c>
      <c r="U99" s="73" t="e">
        <f t="shared" si="40"/>
        <v>#VALUE!</v>
      </c>
      <c r="V99" s="76">
        <f t="shared" si="57"/>
        <v>0</v>
      </c>
      <c r="W99" s="76">
        <f t="shared" si="58"/>
        <v>0</v>
      </c>
      <c r="X99" s="76">
        <f t="shared" si="65"/>
        <v>0</v>
      </c>
      <c r="Y99" s="76">
        <f t="shared" si="65"/>
        <v>0</v>
      </c>
      <c r="Z99" s="76">
        <f t="shared" si="41"/>
        <v>0</v>
      </c>
      <c r="AA99" s="76">
        <f t="shared" si="66"/>
        <v>0</v>
      </c>
      <c r="AB99" s="73">
        <v>0</v>
      </c>
      <c r="AC99" s="73"/>
      <c r="AD99" s="73"/>
      <c r="AE99" s="73"/>
      <c r="AF99" s="73"/>
      <c r="AG99" s="73"/>
      <c r="AH99" s="73"/>
      <c r="AI99" s="73"/>
      <c r="AJ99" s="73"/>
      <c r="AK99" s="73"/>
      <c r="AL99" s="73">
        <f t="shared" si="44"/>
        <v>0</v>
      </c>
      <c r="AM99" s="78" t="s">
        <v>245</v>
      </c>
      <c r="AN99" s="75" t="s">
        <v>246</v>
      </c>
      <c r="AO99" s="73">
        <v>1</v>
      </c>
      <c r="AP99" s="71">
        <f t="shared" si="67"/>
        <v>44</v>
      </c>
      <c r="AQ99" s="1">
        <f t="shared" si="60"/>
        <v>44</v>
      </c>
      <c r="AR99" s="6"/>
      <c r="AS99" s="1">
        <f t="shared" si="61"/>
        <v>62</v>
      </c>
      <c r="AT99" s="61"/>
      <c r="AU99" s="72">
        <f t="shared" si="68"/>
        <v>62</v>
      </c>
      <c r="AV99" s="73"/>
      <c r="AW99" s="73"/>
      <c r="AX99" s="73"/>
      <c r="AY99" s="73"/>
      <c r="AZ99" s="73"/>
      <c r="BA99" s="73"/>
      <c r="BB99" s="73"/>
      <c r="BC99" s="73"/>
      <c r="BD99" s="73"/>
      <c r="BE99" s="73"/>
      <c r="BF99" s="73"/>
      <c r="BG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row>
    <row r="100" spans="1:142" s="79" customFormat="1" ht="28.15" hidden="1" customHeight="1" x14ac:dyDescent="0.2">
      <c r="A100" s="73" t="s">
        <v>247</v>
      </c>
      <c r="B100" s="74">
        <f t="shared" si="49"/>
        <v>0</v>
      </c>
      <c r="C100" s="73">
        <v>0</v>
      </c>
      <c r="D100" s="73">
        <v>0</v>
      </c>
      <c r="E100" s="73">
        <v>0</v>
      </c>
      <c r="F100" s="1" t="str">
        <f t="shared" si="63"/>
        <v>error</v>
      </c>
      <c r="G100" s="73">
        <f t="shared" si="50"/>
        <v>0</v>
      </c>
      <c r="H100" s="73">
        <v>0</v>
      </c>
      <c r="I100" s="73">
        <v>0</v>
      </c>
      <c r="J100" s="73">
        <v>0</v>
      </c>
      <c r="K100" s="73" t="e">
        <f t="shared" si="51"/>
        <v>#N/A</v>
      </c>
      <c r="L100" s="73"/>
      <c r="M100" s="73">
        <f t="shared" si="52"/>
        <v>178</v>
      </c>
      <c r="N100" s="75">
        <f t="shared" si="53"/>
        <v>194</v>
      </c>
      <c r="O100" s="73"/>
      <c r="P100" s="73" t="e">
        <f t="shared" si="64"/>
        <v>#VALUE!</v>
      </c>
      <c r="Q100" s="73">
        <f t="shared" si="54"/>
        <v>2.5</v>
      </c>
      <c r="R100" s="73" t="e">
        <f t="shared" si="55"/>
        <v>#VALUE!</v>
      </c>
      <c r="S100" s="73">
        <f t="shared" si="56"/>
        <v>5</v>
      </c>
      <c r="T100" s="73" t="e">
        <f t="shared" si="39"/>
        <v>#VALUE!</v>
      </c>
      <c r="U100" s="73" t="e">
        <f t="shared" si="40"/>
        <v>#VALUE!</v>
      </c>
      <c r="V100" s="76">
        <f t="shared" si="57"/>
        <v>0</v>
      </c>
      <c r="W100" s="76">
        <f t="shared" si="58"/>
        <v>0</v>
      </c>
      <c r="X100" s="76">
        <f t="shared" si="65"/>
        <v>0</v>
      </c>
      <c r="Y100" s="76">
        <f t="shared" si="65"/>
        <v>0</v>
      </c>
      <c r="Z100" s="76">
        <f t="shared" si="41"/>
        <v>0</v>
      </c>
      <c r="AA100" s="76">
        <f t="shared" si="66"/>
        <v>0</v>
      </c>
      <c r="AB100" s="73">
        <v>0</v>
      </c>
      <c r="AC100" s="73"/>
      <c r="AD100" s="73"/>
      <c r="AE100" s="73"/>
      <c r="AF100" s="73"/>
      <c r="AG100" s="73"/>
      <c r="AH100" s="73"/>
      <c r="AI100" s="73"/>
      <c r="AJ100" s="73"/>
      <c r="AK100" s="73"/>
      <c r="AL100" s="73">
        <f t="shared" si="44"/>
        <v>0</v>
      </c>
      <c r="AM100" s="78" t="s">
        <v>248</v>
      </c>
      <c r="AN100" s="75" t="s">
        <v>249</v>
      </c>
      <c r="AO100" s="73">
        <v>1</v>
      </c>
      <c r="AP100" s="71">
        <f t="shared" si="67"/>
        <v>44</v>
      </c>
      <c r="AQ100" s="1">
        <f t="shared" si="60"/>
        <v>44</v>
      </c>
      <c r="AR100" s="6"/>
      <c r="AS100" s="1">
        <f t="shared" si="61"/>
        <v>62</v>
      </c>
      <c r="AT100" s="61"/>
      <c r="AU100" s="72">
        <f t="shared" si="68"/>
        <v>62</v>
      </c>
      <c r="AV100" s="73"/>
      <c r="AW100" s="73"/>
      <c r="AX100" s="73"/>
      <c r="AY100" s="73"/>
      <c r="AZ100" s="73"/>
      <c r="BA100" s="73"/>
      <c r="BB100" s="73"/>
      <c r="BC100" s="73"/>
      <c r="BD100" s="73"/>
      <c r="BE100" s="73"/>
      <c r="BF100" s="73"/>
      <c r="BG100" s="73"/>
      <c r="DA100" s="73"/>
      <c r="DB100" s="73"/>
      <c r="DC100" s="73"/>
      <c r="DD100" s="73"/>
      <c r="DE100" s="73"/>
      <c r="DF100" s="73"/>
      <c r="DG100" s="73"/>
      <c r="DH100" s="73"/>
      <c r="DI100" s="73"/>
      <c r="DJ100" s="73"/>
      <c r="DK100" s="73"/>
      <c r="DL100" s="73"/>
      <c r="DM100" s="73"/>
      <c r="DN100" s="73"/>
      <c r="DO100" s="73"/>
      <c r="DP100" s="73"/>
      <c r="DQ100" s="73"/>
      <c r="DR100" s="73"/>
      <c r="DS100" s="73"/>
      <c r="DT100" s="73"/>
      <c r="DU100" s="73"/>
      <c r="DV100" s="73"/>
      <c r="DW100" s="73"/>
      <c r="DX100" s="73"/>
      <c r="DY100" s="73"/>
      <c r="DZ100" s="73"/>
      <c r="EA100" s="73"/>
      <c r="EB100" s="73"/>
      <c r="EC100" s="73"/>
      <c r="ED100" s="73"/>
      <c r="EE100" s="73"/>
      <c r="EF100" s="73"/>
      <c r="EG100" s="73"/>
      <c r="EH100" s="73"/>
      <c r="EI100" s="73"/>
      <c r="EJ100" s="73"/>
      <c r="EK100" s="73"/>
      <c r="EL100" s="73"/>
    </row>
    <row r="101" spans="1:142" s="79" customFormat="1" ht="28.15" hidden="1" customHeight="1" x14ac:dyDescent="0.2">
      <c r="A101" s="73" t="s">
        <v>250</v>
      </c>
      <c r="B101" s="74">
        <f t="shared" si="49"/>
        <v>0</v>
      </c>
      <c r="C101" s="73">
        <v>0</v>
      </c>
      <c r="D101" s="73">
        <v>0</v>
      </c>
      <c r="E101" s="73">
        <v>0</v>
      </c>
      <c r="F101" s="1" t="str">
        <f t="shared" si="63"/>
        <v>error</v>
      </c>
      <c r="G101" s="73">
        <f t="shared" si="50"/>
        <v>0</v>
      </c>
      <c r="H101" s="73">
        <v>0</v>
      </c>
      <c r="I101" s="73">
        <v>0</v>
      </c>
      <c r="J101" s="73">
        <v>0</v>
      </c>
      <c r="K101" s="73" t="e">
        <f t="shared" si="51"/>
        <v>#N/A</v>
      </c>
      <c r="L101" s="73"/>
      <c r="M101" s="73">
        <f t="shared" si="52"/>
        <v>178</v>
      </c>
      <c r="N101" s="75">
        <f t="shared" si="53"/>
        <v>194</v>
      </c>
      <c r="O101" s="73"/>
      <c r="P101" s="73" t="e">
        <f t="shared" si="64"/>
        <v>#VALUE!</v>
      </c>
      <c r="Q101" s="73">
        <f t="shared" si="54"/>
        <v>2.5</v>
      </c>
      <c r="R101" s="73" t="e">
        <f t="shared" si="55"/>
        <v>#VALUE!</v>
      </c>
      <c r="S101" s="73">
        <f t="shared" si="56"/>
        <v>5</v>
      </c>
      <c r="T101" s="73" t="e">
        <f t="shared" si="39"/>
        <v>#VALUE!</v>
      </c>
      <c r="U101" s="73" t="e">
        <f t="shared" si="40"/>
        <v>#VALUE!</v>
      </c>
      <c r="V101" s="76">
        <f t="shared" si="57"/>
        <v>0</v>
      </c>
      <c r="W101" s="76">
        <f t="shared" si="58"/>
        <v>0</v>
      </c>
      <c r="X101" s="76">
        <f t="shared" si="65"/>
        <v>0</v>
      </c>
      <c r="Y101" s="76">
        <f t="shared" si="65"/>
        <v>0</v>
      </c>
      <c r="Z101" s="76">
        <f t="shared" si="41"/>
        <v>0</v>
      </c>
      <c r="AA101" s="76">
        <f t="shared" si="66"/>
        <v>0</v>
      </c>
      <c r="AB101" s="73">
        <v>0</v>
      </c>
      <c r="AC101" s="73"/>
      <c r="AD101" s="76"/>
      <c r="AE101" s="76"/>
      <c r="AF101" s="76"/>
      <c r="AG101" s="76"/>
      <c r="AH101" s="73"/>
      <c r="AI101" s="73"/>
      <c r="AJ101" s="73"/>
      <c r="AK101" s="73"/>
      <c r="AL101" s="73">
        <f t="shared" si="44"/>
        <v>0</v>
      </c>
      <c r="AM101" s="78" t="s">
        <v>251</v>
      </c>
      <c r="AN101" s="75" t="s">
        <v>252</v>
      </c>
      <c r="AO101" s="73">
        <v>1</v>
      </c>
      <c r="AP101" s="71">
        <f t="shared" si="67"/>
        <v>44</v>
      </c>
      <c r="AQ101" s="1">
        <f t="shared" si="60"/>
        <v>44</v>
      </c>
      <c r="AR101" s="6"/>
      <c r="AS101" s="1">
        <f t="shared" si="61"/>
        <v>62</v>
      </c>
      <c r="AT101" s="61"/>
      <c r="AU101" s="72">
        <f t="shared" si="68"/>
        <v>62</v>
      </c>
      <c r="AV101" s="73" t="s">
        <v>309</v>
      </c>
      <c r="AW101" s="73" t="s">
        <v>308</v>
      </c>
      <c r="AX101" s="73"/>
      <c r="AY101" s="73"/>
      <c r="AZ101" s="73"/>
      <c r="BA101" s="73"/>
      <c r="BB101" s="73"/>
      <c r="BC101" s="73"/>
      <c r="BD101" s="73"/>
      <c r="BE101" s="73"/>
      <c r="BF101" s="73"/>
      <c r="BG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row>
    <row r="102" spans="1:142" s="85" customFormat="1" ht="28.15" hidden="1" customHeight="1" x14ac:dyDescent="0.2">
      <c r="A102" s="80" t="s">
        <v>253</v>
      </c>
      <c r="B102" s="81">
        <f t="shared" ref="B102:B107" si="69">+B33</f>
        <v>0</v>
      </c>
      <c r="C102" s="80">
        <v>0</v>
      </c>
      <c r="D102" s="80">
        <v>0</v>
      </c>
      <c r="E102" s="80">
        <v>0</v>
      </c>
      <c r="F102" s="80" t="str">
        <f t="shared" ref="F102:F107" si="70">IF(F33=$AB$5,$Z$5,(IF(F33=$AB$6,$Z$6,(IF(F33=$AB$8,$Z$8,(IF(F33=$AB$7,AP102,(IF(F33=$AB$9,$Z$9,("error"))))))))))</f>
        <v>error</v>
      </c>
      <c r="G102" s="80">
        <f t="shared" ref="G102:G107" si="71">IF(G33=$AD$6,$AE$6,(IF(G33=$AD$7,$AE$7,(IF(G33=$AD$8,$AE$8,0)))))</f>
        <v>0</v>
      </c>
      <c r="H102" s="80"/>
      <c r="I102" s="80">
        <f>+IF(I30=$AF$14,25,0)</f>
        <v>0</v>
      </c>
      <c r="J102" s="80"/>
      <c r="K102" s="80" t="e">
        <f>VLOOKUP(#REF!,$AG$5:$AH$7,2,FALSE)</f>
        <v>#REF!</v>
      </c>
      <c r="L102" s="80"/>
      <c r="M102" s="80">
        <f t="shared" ref="M102:M107" si="72">VLOOKUP(C33,$D$129:$H$134,5)</f>
        <v>178</v>
      </c>
      <c r="N102" s="82">
        <f t="shared" si="53"/>
        <v>194</v>
      </c>
      <c r="O102" s="80"/>
      <c r="P102" s="80" t="e">
        <f t="shared" ref="P102:P108" si="73">+(((M102*F102)+K102+G102)*B102)</f>
        <v>#VALUE!</v>
      </c>
      <c r="Q102" s="80">
        <f t="shared" ref="Q102:Q107" si="74">+VLOOKUP(C33,$D$129:$M$134,10)</f>
        <v>2.5</v>
      </c>
      <c r="R102" s="80" t="e">
        <f t="shared" si="55"/>
        <v>#VALUE!</v>
      </c>
      <c r="S102" s="80">
        <f t="shared" ref="S102:S107" si="75">VLOOKUP(C33,$D$124:$M$128,10)</f>
        <v>5</v>
      </c>
      <c r="T102" s="80" t="e">
        <f t="shared" si="39"/>
        <v>#VALUE!</v>
      </c>
      <c r="U102" s="80" t="e">
        <f t="shared" si="40"/>
        <v>#VALUE!</v>
      </c>
      <c r="V102" s="83">
        <f t="shared" ref="V102:V107" si="76">VLOOKUP(C33,$D$135:$L$145,5)*B102</f>
        <v>0</v>
      </c>
      <c r="W102" s="83" t="e">
        <f t="shared" ref="W102:W107" si="77">E225</f>
        <v>#N/A</v>
      </c>
      <c r="X102" s="83" t="e">
        <f t="shared" si="33"/>
        <v>#VALUE!</v>
      </c>
      <c r="Y102" s="83" t="e">
        <f t="shared" si="33"/>
        <v>#VALUE!</v>
      </c>
      <c r="Z102" s="83">
        <f t="shared" si="41"/>
        <v>0</v>
      </c>
      <c r="AA102" s="83">
        <f t="shared" ref="AA102" si="78">+$AA$84*B102</f>
        <v>0</v>
      </c>
      <c r="AB102" s="80">
        <v>0</v>
      </c>
      <c r="AC102" s="80"/>
      <c r="AD102" s="82" t="e">
        <f t="shared" ref="AD102:AD107" si="79">VLOOKUP(D33,$W$113:$X$117,2,TRUE)</f>
        <v>#N/A</v>
      </c>
      <c r="AE102" s="80"/>
      <c r="AF102" s="80"/>
      <c r="AG102" s="80"/>
      <c r="AH102" s="80"/>
      <c r="AI102" s="80"/>
      <c r="AJ102" s="80"/>
      <c r="AK102" s="80"/>
      <c r="AL102" s="80">
        <f t="shared" si="44"/>
        <v>0</v>
      </c>
      <c r="AM102" s="84" t="s">
        <v>254</v>
      </c>
      <c r="AN102" s="82" t="s">
        <v>255</v>
      </c>
      <c r="AO102" s="80">
        <v>3</v>
      </c>
      <c r="AP102" s="71">
        <f>+AQ102</f>
        <v>111</v>
      </c>
      <c r="AQ102" s="30">
        <f t="shared" ref="AQ102:AQ107" si="80">VLOOKUP(C33,$D$146:$AZ$151,AZ102)</f>
        <v>111</v>
      </c>
      <c r="AR102" s="1">
        <f t="shared" ref="AR102:AR107" si="81">VLOOKUP(C33,$D$146:$T$151,15)</f>
        <v>111</v>
      </c>
      <c r="AS102" s="1">
        <f t="shared" ref="AS102:AS107" si="82">VLOOKUP(C33,$D$146:$T$151,16)</f>
        <v>120</v>
      </c>
      <c r="AT102" s="1">
        <f t="shared" ref="AT102:AT107" si="83">VLOOKUP(C33,$D$146:$T$151,17)</f>
        <v>130</v>
      </c>
      <c r="AU102" s="80"/>
      <c r="AV102" s="80">
        <f t="shared" ref="AV102:AW107" si="84">+C33</f>
        <v>0</v>
      </c>
      <c r="AW102" s="80">
        <f t="shared" si="84"/>
        <v>0</v>
      </c>
      <c r="AX102" s="80"/>
      <c r="AY102" s="80"/>
      <c r="AZ102" s="80">
        <f>VLOOKUP(AW102,$BB$102:$BC$107,2)</f>
        <v>15</v>
      </c>
      <c r="BA102" s="80"/>
      <c r="BB102" s="80">
        <v>0</v>
      </c>
      <c r="BC102" s="80">
        <v>15</v>
      </c>
      <c r="BD102" s="80"/>
      <c r="BE102" s="80"/>
      <c r="BF102" s="80"/>
      <c r="BG102" s="80"/>
      <c r="DA102" s="80"/>
      <c r="DB102" s="80"/>
      <c r="DC102" s="80"/>
      <c r="DD102" s="80"/>
      <c r="DE102" s="80"/>
      <c r="DF102" s="80"/>
      <c r="DG102" s="80"/>
      <c r="DH102" s="80"/>
      <c r="DI102" s="80"/>
      <c r="DJ102" s="80"/>
      <c r="DK102" s="80"/>
      <c r="DL102" s="80"/>
      <c r="DM102" s="80"/>
      <c r="DN102" s="80"/>
      <c r="DO102" s="80"/>
      <c r="DP102" s="80"/>
      <c r="DQ102" s="80"/>
      <c r="DR102" s="80"/>
      <c r="DS102" s="80"/>
      <c r="DT102" s="80"/>
      <c r="DU102" s="80"/>
      <c r="DV102" s="80"/>
      <c r="DW102" s="80"/>
      <c r="DX102" s="80"/>
      <c r="DY102" s="80"/>
      <c r="DZ102" s="80"/>
      <c r="EA102" s="80"/>
      <c r="EB102" s="80"/>
      <c r="EC102" s="80"/>
      <c r="ED102" s="80"/>
      <c r="EE102" s="80"/>
      <c r="EF102" s="80"/>
      <c r="EG102" s="80"/>
      <c r="EH102" s="80"/>
      <c r="EI102" s="80"/>
      <c r="EJ102" s="80"/>
      <c r="EK102" s="80"/>
      <c r="EL102" s="80"/>
    </row>
    <row r="103" spans="1:142" s="85" customFormat="1" ht="28.15" hidden="1" customHeight="1" x14ac:dyDescent="0.2">
      <c r="A103" s="80" t="s">
        <v>256</v>
      </c>
      <c r="B103" s="81">
        <f t="shared" si="69"/>
        <v>0</v>
      </c>
      <c r="C103" s="80">
        <v>0</v>
      </c>
      <c r="D103" s="80">
        <v>0</v>
      </c>
      <c r="E103" s="80">
        <v>0</v>
      </c>
      <c r="F103" s="80" t="str">
        <f t="shared" si="70"/>
        <v>error</v>
      </c>
      <c r="G103" s="80">
        <f t="shared" si="71"/>
        <v>0</v>
      </c>
      <c r="H103" s="80"/>
      <c r="I103" s="80">
        <f t="shared" ref="I103:I108" si="85">+IF(I32=$AF$14,25,0)</f>
        <v>0</v>
      </c>
      <c r="J103" s="80"/>
      <c r="K103" s="80" t="e">
        <f t="shared" ref="K103:K108" si="86">VLOOKUP(K32,$AG$5:$AH$7,2,FALSE)</f>
        <v>#N/A</v>
      </c>
      <c r="L103" s="80"/>
      <c r="M103" s="80">
        <f t="shared" si="72"/>
        <v>178</v>
      </c>
      <c r="N103" s="82">
        <f t="shared" si="53"/>
        <v>194</v>
      </c>
      <c r="O103" s="80"/>
      <c r="P103" s="80" t="e">
        <f t="shared" si="73"/>
        <v>#VALUE!</v>
      </c>
      <c r="Q103" s="80">
        <f t="shared" si="74"/>
        <v>2.5</v>
      </c>
      <c r="R103" s="80" t="e">
        <f t="shared" si="55"/>
        <v>#VALUE!</v>
      </c>
      <c r="S103" s="80">
        <f t="shared" si="75"/>
        <v>5</v>
      </c>
      <c r="T103" s="80" t="e">
        <f t="shared" si="39"/>
        <v>#VALUE!</v>
      </c>
      <c r="U103" s="80" t="e">
        <f t="shared" si="40"/>
        <v>#VALUE!</v>
      </c>
      <c r="V103" s="83">
        <f t="shared" si="76"/>
        <v>0</v>
      </c>
      <c r="W103" s="83" t="e">
        <f t="shared" si="77"/>
        <v>#N/A</v>
      </c>
      <c r="X103" s="83" t="e">
        <f t="shared" si="33"/>
        <v>#VALUE!</v>
      </c>
      <c r="Y103" s="83" t="e">
        <f t="shared" si="33"/>
        <v>#VALUE!</v>
      </c>
      <c r="Z103" s="83">
        <f t="shared" si="41"/>
        <v>0</v>
      </c>
      <c r="AA103" s="83"/>
      <c r="AB103" s="80">
        <v>0</v>
      </c>
      <c r="AC103" s="80"/>
      <c r="AD103" s="82" t="e">
        <f t="shared" si="79"/>
        <v>#N/A</v>
      </c>
      <c r="AE103" s="80"/>
      <c r="AF103" s="80"/>
      <c r="AG103" s="80"/>
      <c r="AH103" s="80"/>
      <c r="AI103" s="80"/>
      <c r="AJ103" s="80"/>
      <c r="AK103" s="80"/>
      <c r="AL103" s="80">
        <f t="shared" si="44"/>
        <v>0</v>
      </c>
      <c r="AM103" s="84" t="s">
        <v>257</v>
      </c>
      <c r="AN103" s="82" t="s">
        <v>258</v>
      </c>
      <c r="AO103" s="80">
        <v>1</v>
      </c>
      <c r="AP103" s="71">
        <f t="shared" ref="AP103:AP107" si="87">+AQ103</f>
        <v>111</v>
      </c>
      <c r="AQ103" s="30">
        <f t="shared" si="80"/>
        <v>111</v>
      </c>
      <c r="AR103" s="1">
        <f t="shared" si="81"/>
        <v>111</v>
      </c>
      <c r="AS103" s="1">
        <f t="shared" si="82"/>
        <v>120</v>
      </c>
      <c r="AT103" s="1">
        <f t="shared" si="83"/>
        <v>130</v>
      </c>
      <c r="AU103" s="80"/>
      <c r="AV103" s="80">
        <f t="shared" si="84"/>
        <v>0</v>
      </c>
      <c r="AW103" s="80">
        <f t="shared" si="84"/>
        <v>0</v>
      </c>
      <c r="AX103" s="80"/>
      <c r="AY103" s="80"/>
      <c r="AZ103" s="80">
        <f t="shared" ref="AZ103:AZ107" si="88">VLOOKUP(AW103,$BB$102:$BC$107,2)</f>
        <v>15</v>
      </c>
      <c r="BA103" s="80"/>
      <c r="BB103" s="80">
        <v>2200</v>
      </c>
      <c r="BC103" s="80">
        <v>16</v>
      </c>
      <c r="BD103" s="80"/>
      <c r="BE103" s="80"/>
      <c r="BF103" s="80"/>
      <c r="BG103" s="80"/>
      <c r="DA103" s="80"/>
      <c r="DB103" s="80"/>
      <c r="DC103" s="80"/>
      <c r="DD103" s="80"/>
      <c r="DE103" s="80"/>
      <c r="DF103" s="80"/>
      <c r="DG103" s="80"/>
      <c r="DH103" s="80"/>
      <c r="DI103" s="80"/>
      <c r="DJ103" s="80"/>
      <c r="DK103" s="80"/>
      <c r="DL103" s="80"/>
      <c r="DM103" s="80"/>
      <c r="DN103" s="80"/>
      <c r="DO103" s="80"/>
      <c r="DP103" s="80"/>
      <c r="DQ103" s="80"/>
      <c r="DR103" s="80"/>
      <c r="DS103" s="80"/>
      <c r="DT103" s="80"/>
      <c r="DU103" s="80"/>
      <c r="DV103" s="80"/>
      <c r="DW103" s="80"/>
      <c r="DX103" s="80"/>
      <c r="DY103" s="80"/>
      <c r="DZ103" s="80"/>
      <c r="EA103" s="80"/>
      <c r="EB103" s="80"/>
      <c r="EC103" s="80"/>
      <c r="ED103" s="80"/>
      <c r="EE103" s="80"/>
      <c r="EF103" s="80"/>
      <c r="EG103" s="80"/>
      <c r="EH103" s="80"/>
      <c r="EI103" s="80"/>
      <c r="EJ103" s="80"/>
      <c r="EK103" s="80"/>
      <c r="EL103" s="80"/>
    </row>
    <row r="104" spans="1:142" s="85" customFormat="1" ht="28.15" hidden="1" customHeight="1" x14ac:dyDescent="0.2">
      <c r="A104" s="80" t="s">
        <v>259</v>
      </c>
      <c r="B104" s="81">
        <f t="shared" si="69"/>
        <v>0</v>
      </c>
      <c r="C104" s="80">
        <v>0</v>
      </c>
      <c r="D104" s="80">
        <v>0</v>
      </c>
      <c r="E104" s="80">
        <v>0</v>
      </c>
      <c r="F104" s="80" t="str">
        <f>IF(F35=$AB$5,$Z$5,(IF(F35=$AB$6,$Z$6,(IF(F35=$AB$8,$Z$8,(IF(F35=$AB$7,AP104,(IF(F35=$AB$9,$Z$9,("error"))))))))))</f>
        <v>error</v>
      </c>
      <c r="G104" s="80">
        <f t="shared" si="71"/>
        <v>0</v>
      </c>
      <c r="H104" s="80"/>
      <c r="I104" s="80">
        <f t="shared" si="85"/>
        <v>0</v>
      </c>
      <c r="J104" s="80"/>
      <c r="K104" s="80" t="e">
        <f t="shared" si="86"/>
        <v>#N/A</v>
      </c>
      <c r="L104" s="80"/>
      <c r="M104" s="80">
        <f t="shared" si="72"/>
        <v>178</v>
      </c>
      <c r="N104" s="82">
        <f t="shared" si="53"/>
        <v>194</v>
      </c>
      <c r="O104" s="80"/>
      <c r="P104" s="80" t="e">
        <f t="shared" si="73"/>
        <v>#VALUE!</v>
      </c>
      <c r="Q104" s="80">
        <f t="shared" si="74"/>
        <v>2.5</v>
      </c>
      <c r="R104" s="80" t="e">
        <f t="shared" si="55"/>
        <v>#VALUE!</v>
      </c>
      <c r="S104" s="80">
        <f t="shared" si="75"/>
        <v>5</v>
      </c>
      <c r="T104" s="80" t="e">
        <f t="shared" si="39"/>
        <v>#VALUE!</v>
      </c>
      <c r="U104" s="80" t="e">
        <f t="shared" si="40"/>
        <v>#VALUE!</v>
      </c>
      <c r="V104" s="83">
        <f t="shared" si="76"/>
        <v>0</v>
      </c>
      <c r="W104" s="83" t="e">
        <f t="shared" si="77"/>
        <v>#N/A</v>
      </c>
      <c r="X104" s="83" t="e">
        <f t="shared" si="33"/>
        <v>#VALUE!</v>
      </c>
      <c r="Y104" s="83" t="e">
        <f t="shared" si="33"/>
        <v>#VALUE!</v>
      </c>
      <c r="Z104" s="83">
        <f t="shared" si="41"/>
        <v>0</v>
      </c>
      <c r="AA104" s="83"/>
      <c r="AB104" s="80">
        <v>0</v>
      </c>
      <c r="AC104" s="80"/>
      <c r="AD104" s="82" t="e">
        <f t="shared" si="79"/>
        <v>#N/A</v>
      </c>
      <c r="AE104" s="80"/>
      <c r="AF104" s="80"/>
      <c r="AG104" s="80"/>
      <c r="AH104" s="80"/>
      <c r="AI104" s="80"/>
      <c r="AJ104" s="80"/>
      <c r="AK104" s="80"/>
      <c r="AL104" s="80">
        <f t="shared" si="44"/>
        <v>0</v>
      </c>
      <c r="AM104" s="84" t="s">
        <v>260</v>
      </c>
      <c r="AN104" s="82" t="s">
        <v>261</v>
      </c>
      <c r="AO104" s="80">
        <v>5</v>
      </c>
      <c r="AP104" s="71">
        <f t="shared" si="87"/>
        <v>111</v>
      </c>
      <c r="AQ104" s="30">
        <f t="shared" si="80"/>
        <v>111</v>
      </c>
      <c r="AR104" s="1">
        <f t="shared" si="81"/>
        <v>111</v>
      </c>
      <c r="AS104" s="1">
        <f t="shared" si="82"/>
        <v>120</v>
      </c>
      <c r="AT104" s="1">
        <f t="shared" si="83"/>
        <v>130</v>
      </c>
      <c r="AU104" s="80"/>
      <c r="AV104" s="80">
        <f t="shared" si="84"/>
        <v>0</v>
      </c>
      <c r="AW104" s="80">
        <f t="shared" si="84"/>
        <v>0</v>
      </c>
      <c r="AX104" s="80"/>
      <c r="AY104" s="80"/>
      <c r="AZ104" s="80">
        <f t="shared" si="88"/>
        <v>15</v>
      </c>
      <c r="BA104" s="80"/>
      <c r="BB104" s="80">
        <v>2400</v>
      </c>
      <c r="BC104" s="80">
        <v>17</v>
      </c>
      <c r="BD104" s="80"/>
      <c r="BE104" s="80"/>
      <c r="BF104" s="80"/>
      <c r="BG104" s="80"/>
      <c r="DA104" s="80"/>
      <c r="DB104" s="80"/>
      <c r="DC104" s="80"/>
      <c r="DD104" s="80"/>
      <c r="DE104" s="80"/>
      <c r="DF104" s="80"/>
      <c r="DG104" s="80"/>
      <c r="DH104" s="80"/>
      <c r="DI104" s="80"/>
      <c r="DJ104" s="80"/>
      <c r="DK104" s="80"/>
      <c r="DL104" s="80"/>
      <c r="DM104" s="80"/>
      <c r="DN104" s="80"/>
      <c r="DO104" s="80"/>
      <c r="DP104" s="80"/>
      <c r="DQ104" s="80"/>
      <c r="DR104" s="80"/>
      <c r="DS104" s="80"/>
      <c r="DT104" s="80"/>
      <c r="DU104" s="80"/>
      <c r="DV104" s="80"/>
      <c r="DW104" s="80"/>
      <c r="DX104" s="80"/>
      <c r="DY104" s="80"/>
      <c r="DZ104" s="80"/>
      <c r="EA104" s="80"/>
      <c r="EB104" s="80"/>
      <c r="EC104" s="80"/>
      <c r="ED104" s="80"/>
      <c r="EE104" s="80"/>
      <c r="EF104" s="80"/>
      <c r="EG104" s="80"/>
      <c r="EH104" s="80"/>
      <c r="EI104" s="80"/>
      <c r="EJ104" s="80"/>
      <c r="EK104" s="80"/>
      <c r="EL104" s="80"/>
    </row>
    <row r="105" spans="1:142" s="85" customFormat="1" ht="28.15" hidden="1" customHeight="1" x14ac:dyDescent="0.2">
      <c r="A105" s="80" t="s">
        <v>262</v>
      </c>
      <c r="B105" s="81">
        <f t="shared" si="69"/>
        <v>0</v>
      </c>
      <c r="C105" s="80">
        <v>0</v>
      </c>
      <c r="D105" s="80">
        <v>0</v>
      </c>
      <c r="E105" s="80">
        <v>0</v>
      </c>
      <c r="F105" s="80" t="str">
        <f>IF(F36=$AB$5,$Z$5,(IF(F36=$AB$6,$Z$6,(IF(F36=$AB$8,$Z$8,(IF(F36=$AB$7,AP105,(IF(F36=$AB$9,$Z$9,("error"))))))))))</f>
        <v>error</v>
      </c>
      <c r="G105" s="80">
        <f t="shared" si="71"/>
        <v>0</v>
      </c>
      <c r="H105" s="80"/>
      <c r="I105" s="80">
        <f t="shared" si="85"/>
        <v>0</v>
      </c>
      <c r="J105" s="80"/>
      <c r="K105" s="80" t="e">
        <f t="shared" si="86"/>
        <v>#N/A</v>
      </c>
      <c r="L105" s="80"/>
      <c r="M105" s="80">
        <f t="shared" si="72"/>
        <v>178</v>
      </c>
      <c r="N105" s="82" t="e">
        <f t="shared" si="53"/>
        <v>#N/A</v>
      </c>
      <c r="O105" s="80"/>
      <c r="P105" s="80" t="e">
        <f t="shared" si="73"/>
        <v>#VALUE!</v>
      </c>
      <c r="Q105" s="80">
        <f t="shared" si="74"/>
        <v>2.5</v>
      </c>
      <c r="R105" s="80" t="e">
        <f t="shared" si="55"/>
        <v>#N/A</v>
      </c>
      <c r="S105" s="80">
        <f t="shared" si="75"/>
        <v>5</v>
      </c>
      <c r="T105" s="80" t="e">
        <f t="shared" si="39"/>
        <v>#VALUE!</v>
      </c>
      <c r="U105" s="80" t="e">
        <f t="shared" si="40"/>
        <v>#N/A</v>
      </c>
      <c r="V105" s="83">
        <f t="shared" si="76"/>
        <v>0</v>
      </c>
      <c r="W105" s="83" t="e">
        <f t="shared" si="77"/>
        <v>#N/A</v>
      </c>
      <c r="X105" s="83" t="e">
        <f t="shared" si="33"/>
        <v>#VALUE!</v>
      </c>
      <c r="Y105" s="83" t="e">
        <f t="shared" si="33"/>
        <v>#VALUE!</v>
      </c>
      <c r="Z105" s="83">
        <f t="shared" si="41"/>
        <v>0</v>
      </c>
      <c r="AA105" s="83"/>
      <c r="AB105" s="80">
        <v>0</v>
      </c>
      <c r="AC105" s="80"/>
      <c r="AD105" s="82" t="e">
        <f t="shared" si="79"/>
        <v>#N/A</v>
      </c>
      <c r="AE105" s="80"/>
      <c r="AF105" s="80"/>
      <c r="AG105" s="80"/>
      <c r="AH105" s="80"/>
      <c r="AI105" s="80"/>
      <c r="AJ105" s="80"/>
      <c r="AK105" s="80"/>
      <c r="AL105" s="80">
        <f t="shared" si="44"/>
        <v>0</v>
      </c>
      <c r="AM105" s="84" t="s">
        <v>263</v>
      </c>
      <c r="AN105" s="82" t="s">
        <v>264</v>
      </c>
      <c r="AO105" s="80">
        <v>3</v>
      </c>
      <c r="AP105" s="71">
        <f t="shared" si="87"/>
        <v>111</v>
      </c>
      <c r="AQ105" s="30">
        <f t="shared" si="80"/>
        <v>111</v>
      </c>
      <c r="AR105" s="1">
        <f t="shared" si="81"/>
        <v>111</v>
      </c>
      <c r="AS105" s="1">
        <f t="shared" si="82"/>
        <v>120</v>
      </c>
      <c r="AT105" s="1">
        <f t="shared" si="83"/>
        <v>130</v>
      </c>
      <c r="AU105" s="80"/>
      <c r="AV105" s="80">
        <f t="shared" si="84"/>
        <v>0</v>
      </c>
      <c r="AW105" s="80">
        <f t="shared" si="84"/>
        <v>0</v>
      </c>
      <c r="AX105" s="80"/>
      <c r="AY105" s="80"/>
      <c r="AZ105" s="80">
        <f t="shared" si="88"/>
        <v>15</v>
      </c>
      <c r="BA105" s="80"/>
      <c r="BB105" s="80">
        <v>2600</v>
      </c>
      <c r="BC105" s="80">
        <v>0</v>
      </c>
      <c r="BD105" s="80"/>
      <c r="BE105" s="80"/>
      <c r="BF105" s="80"/>
      <c r="BG105" s="80"/>
      <c r="DA105" s="80"/>
      <c r="DB105" s="80"/>
      <c r="DC105" s="80"/>
      <c r="DD105" s="80"/>
      <c r="DE105" s="80"/>
      <c r="DF105" s="80"/>
      <c r="DG105" s="80"/>
      <c r="DH105" s="80"/>
      <c r="DI105" s="80"/>
      <c r="DJ105" s="80"/>
      <c r="DK105" s="80"/>
      <c r="DL105" s="80"/>
      <c r="DM105" s="80"/>
      <c r="DN105" s="80"/>
      <c r="DO105" s="80"/>
      <c r="DP105" s="80"/>
      <c r="DQ105" s="80"/>
      <c r="DR105" s="80"/>
      <c r="DS105" s="80"/>
      <c r="DT105" s="80"/>
      <c r="DU105" s="80"/>
      <c r="DV105" s="80"/>
      <c r="DW105" s="80"/>
      <c r="DX105" s="80"/>
      <c r="DY105" s="80"/>
      <c r="DZ105" s="80"/>
      <c r="EA105" s="80"/>
      <c r="EB105" s="80"/>
      <c r="EC105" s="80"/>
      <c r="ED105" s="80"/>
      <c r="EE105" s="80"/>
      <c r="EF105" s="80"/>
      <c r="EG105" s="80"/>
      <c r="EH105" s="80"/>
      <c r="EI105" s="80"/>
      <c r="EJ105" s="80"/>
      <c r="EK105" s="80"/>
      <c r="EL105" s="80"/>
    </row>
    <row r="106" spans="1:142" s="85" customFormat="1" ht="28.15" hidden="1" customHeight="1" x14ac:dyDescent="0.2">
      <c r="A106" s="80" t="s">
        <v>265</v>
      </c>
      <c r="B106" s="81">
        <f t="shared" si="69"/>
        <v>0</v>
      </c>
      <c r="C106" s="80">
        <v>0</v>
      </c>
      <c r="D106" s="80">
        <v>0</v>
      </c>
      <c r="E106" s="80">
        <v>0</v>
      </c>
      <c r="F106" s="80" t="str">
        <f t="shared" si="70"/>
        <v>error</v>
      </c>
      <c r="G106" s="80">
        <f t="shared" si="71"/>
        <v>0</v>
      </c>
      <c r="H106" s="80"/>
      <c r="I106" s="80">
        <f t="shared" si="85"/>
        <v>0</v>
      </c>
      <c r="J106" s="80"/>
      <c r="K106" s="80" t="e">
        <f t="shared" si="86"/>
        <v>#N/A</v>
      </c>
      <c r="L106" s="80"/>
      <c r="M106" s="80">
        <f t="shared" si="72"/>
        <v>178</v>
      </c>
      <c r="N106" s="82">
        <f t="shared" si="53"/>
        <v>194</v>
      </c>
      <c r="O106" s="80"/>
      <c r="P106" s="80" t="e">
        <f t="shared" si="73"/>
        <v>#VALUE!</v>
      </c>
      <c r="Q106" s="80">
        <f t="shared" si="74"/>
        <v>2.5</v>
      </c>
      <c r="R106" s="80" t="e">
        <f t="shared" si="55"/>
        <v>#VALUE!</v>
      </c>
      <c r="S106" s="80">
        <f t="shared" si="75"/>
        <v>5</v>
      </c>
      <c r="T106" s="80" t="e">
        <f t="shared" si="39"/>
        <v>#VALUE!</v>
      </c>
      <c r="U106" s="80" t="e">
        <f t="shared" si="40"/>
        <v>#VALUE!</v>
      </c>
      <c r="V106" s="83">
        <f t="shared" si="76"/>
        <v>0</v>
      </c>
      <c r="W106" s="83" t="e">
        <f t="shared" si="77"/>
        <v>#N/A</v>
      </c>
      <c r="X106" s="83" t="e">
        <f t="shared" si="33"/>
        <v>#VALUE!</v>
      </c>
      <c r="Y106" s="83" t="e">
        <f t="shared" si="33"/>
        <v>#VALUE!</v>
      </c>
      <c r="Z106" s="83">
        <f t="shared" si="41"/>
        <v>0</v>
      </c>
      <c r="AA106" s="83"/>
      <c r="AB106" s="80">
        <v>0</v>
      </c>
      <c r="AC106" s="80"/>
      <c r="AD106" s="82" t="e">
        <f t="shared" si="79"/>
        <v>#N/A</v>
      </c>
      <c r="AE106" s="80"/>
      <c r="AF106" s="80"/>
      <c r="AG106" s="80"/>
      <c r="AH106" s="80"/>
      <c r="AI106" s="80"/>
      <c r="AJ106" s="80"/>
      <c r="AK106" s="80"/>
      <c r="AL106" s="80">
        <f t="shared" si="44"/>
        <v>0</v>
      </c>
      <c r="AM106" s="84" t="s">
        <v>266</v>
      </c>
      <c r="AN106" s="82" t="s">
        <v>267</v>
      </c>
      <c r="AO106" s="80">
        <v>2</v>
      </c>
      <c r="AP106" s="71">
        <f t="shared" si="87"/>
        <v>111</v>
      </c>
      <c r="AQ106" s="30">
        <f t="shared" si="80"/>
        <v>111</v>
      </c>
      <c r="AR106" s="1">
        <f t="shared" si="81"/>
        <v>111</v>
      </c>
      <c r="AS106" s="1">
        <f t="shared" si="82"/>
        <v>120</v>
      </c>
      <c r="AT106" s="1">
        <f t="shared" si="83"/>
        <v>130</v>
      </c>
      <c r="AU106" s="80"/>
      <c r="AV106" s="80">
        <f t="shared" si="84"/>
        <v>0</v>
      </c>
      <c r="AW106" s="80">
        <f t="shared" si="84"/>
        <v>0</v>
      </c>
      <c r="AX106" s="80"/>
      <c r="AY106" s="80"/>
      <c r="AZ106" s="80">
        <f t="shared" si="88"/>
        <v>15</v>
      </c>
      <c r="BA106" s="80"/>
      <c r="BB106" s="80">
        <v>5000</v>
      </c>
      <c r="BC106" s="80">
        <v>0</v>
      </c>
      <c r="BD106" s="80"/>
      <c r="BE106" s="80"/>
      <c r="BF106" s="80"/>
      <c r="BG106" s="80"/>
      <c r="DA106" s="80"/>
      <c r="DB106" s="80"/>
      <c r="DC106" s="80"/>
      <c r="DD106" s="80"/>
      <c r="DE106" s="80"/>
      <c r="DF106" s="80"/>
      <c r="DG106" s="80"/>
      <c r="DH106" s="80"/>
      <c r="DI106" s="80"/>
      <c r="DJ106" s="80"/>
      <c r="DK106" s="80"/>
      <c r="DL106" s="80"/>
      <c r="DM106" s="80"/>
      <c r="DN106" s="80"/>
      <c r="DO106" s="80"/>
      <c r="DP106" s="80"/>
      <c r="DQ106" s="80"/>
      <c r="DR106" s="80"/>
      <c r="DS106" s="80"/>
      <c r="DT106" s="80"/>
      <c r="DU106" s="80"/>
      <c r="DV106" s="80"/>
      <c r="DW106" s="80"/>
      <c r="DX106" s="80"/>
      <c r="DY106" s="80"/>
      <c r="DZ106" s="80"/>
      <c r="EA106" s="80"/>
      <c r="EB106" s="80"/>
      <c r="EC106" s="80"/>
      <c r="ED106" s="80"/>
      <c r="EE106" s="80"/>
      <c r="EF106" s="80"/>
      <c r="EG106" s="80"/>
      <c r="EH106" s="80"/>
      <c r="EI106" s="80"/>
      <c r="EJ106" s="80"/>
      <c r="EK106" s="80"/>
      <c r="EL106" s="80"/>
    </row>
    <row r="107" spans="1:142" s="85" customFormat="1" ht="28.15" hidden="1" customHeight="1" x14ac:dyDescent="0.2">
      <c r="A107" s="80" t="s">
        <v>268</v>
      </c>
      <c r="B107" s="81">
        <f t="shared" si="69"/>
        <v>0</v>
      </c>
      <c r="C107" s="80">
        <v>0</v>
      </c>
      <c r="D107" s="80">
        <v>0</v>
      </c>
      <c r="E107" s="80">
        <v>0</v>
      </c>
      <c r="F107" s="80" t="str">
        <f t="shared" si="70"/>
        <v>error</v>
      </c>
      <c r="G107" s="80">
        <f t="shared" si="71"/>
        <v>0</v>
      </c>
      <c r="H107" s="80"/>
      <c r="I107" s="80">
        <f t="shared" si="85"/>
        <v>0</v>
      </c>
      <c r="J107" s="80"/>
      <c r="K107" s="80" t="e">
        <f t="shared" si="86"/>
        <v>#N/A</v>
      </c>
      <c r="L107" s="80"/>
      <c r="M107" s="80">
        <f t="shared" si="72"/>
        <v>178</v>
      </c>
      <c r="N107" s="82">
        <f t="shared" si="53"/>
        <v>194</v>
      </c>
      <c r="O107" s="80"/>
      <c r="P107" s="80" t="e">
        <f t="shared" si="73"/>
        <v>#VALUE!</v>
      </c>
      <c r="Q107" s="80">
        <f t="shared" si="74"/>
        <v>2.5</v>
      </c>
      <c r="R107" s="80" t="e">
        <f t="shared" si="55"/>
        <v>#VALUE!</v>
      </c>
      <c r="S107" s="80">
        <f t="shared" si="75"/>
        <v>5</v>
      </c>
      <c r="T107" s="80" t="e">
        <f t="shared" si="39"/>
        <v>#VALUE!</v>
      </c>
      <c r="U107" s="80" t="e">
        <f t="shared" si="40"/>
        <v>#VALUE!</v>
      </c>
      <c r="V107" s="83">
        <f t="shared" si="76"/>
        <v>0</v>
      </c>
      <c r="W107" s="83" t="e">
        <f t="shared" si="77"/>
        <v>#N/A</v>
      </c>
      <c r="X107" s="83" t="e">
        <f t="shared" si="33"/>
        <v>#VALUE!</v>
      </c>
      <c r="Y107" s="83" t="e">
        <f t="shared" si="33"/>
        <v>#VALUE!</v>
      </c>
      <c r="Z107" s="83">
        <f t="shared" si="41"/>
        <v>0</v>
      </c>
      <c r="AA107" s="83"/>
      <c r="AB107" s="80">
        <v>0</v>
      </c>
      <c r="AC107" s="80"/>
      <c r="AD107" s="82" t="e">
        <f t="shared" si="79"/>
        <v>#N/A</v>
      </c>
      <c r="AE107" s="80"/>
      <c r="AF107" s="80"/>
      <c r="AG107" s="80"/>
      <c r="AH107" s="80"/>
      <c r="AI107" s="80"/>
      <c r="AJ107" s="80"/>
      <c r="AK107" s="80"/>
      <c r="AL107" s="80">
        <f t="shared" si="44"/>
        <v>0</v>
      </c>
      <c r="AM107" s="84" t="s">
        <v>269</v>
      </c>
      <c r="AN107" s="82" t="s">
        <v>270</v>
      </c>
      <c r="AO107" s="80">
        <v>1</v>
      </c>
      <c r="AP107" s="71">
        <f t="shared" si="87"/>
        <v>111</v>
      </c>
      <c r="AQ107" s="30">
        <f t="shared" si="80"/>
        <v>111</v>
      </c>
      <c r="AR107" s="1">
        <f t="shared" si="81"/>
        <v>111</v>
      </c>
      <c r="AS107" s="1">
        <f t="shared" si="82"/>
        <v>120</v>
      </c>
      <c r="AT107" s="1">
        <f t="shared" si="83"/>
        <v>130</v>
      </c>
      <c r="AU107" s="80"/>
      <c r="AV107" s="80">
        <f t="shared" si="84"/>
        <v>0</v>
      </c>
      <c r="AW107" s="80">
        <f t="shared" si="84"/>
        <v>0</v>
      </c>
      <c r="AX107" s="80"/>
      <c r="AY107" s="80"/>
      <c r="AZ107" s="80">
        <f t="shared" si="88"/>
        <v>15</v>
      </c>
      <c r="BA107" s="80"/>
      <c r="BB107" s="80"/>
      <c r="BC107" s="80">
        <v>0</v>
      </c>
      <c r="BD107" s="80"/>
      <c r="BE107" s="80"/>
      <c r="BF107" s="80"/>
      <c r="BG107" s="80"/>
      <c r="DA107" s="80"/>
      <c r="DB107" s="80"/>
      <c r="DC107" s="80"/>
      <c r="DD107" s="80"/>
      <c r="DE107" s="80"/>
      <c r="DF107" s="80"/>
      <c r="DG107" s="80"/>
      <c r="DH107" s="80"/>
      <c r="DI107" s="80"/>
      <c r="DJ107" s="80"/>
      <c r="DK107" s="80"/>
      <c r="DL107" s="80"/>
      <c r="DM107" s="80"/>
      <c r="DN107" s="80"/>
      <c r="DO107" s="80"/>
      <c r="DP107" s="80"/>
      <c r="DQ107" s="80"/>
      <c r="DR107" s="80"/>
      <c r="DS107" s="80"/>
      <c r="DT107" s="80"/>
      <c r="DU107" s="80"/>
      <c r="DV107" s="80"/>
      <c r="DW107" s="80"/>
      <c r="DX107" s="80"/>
      <c r="DY107" s="80"/>
      <c r="DZ107" s="80"/>
      <c r="EA107" s="80"/>
      <c r="EB107" s="80"/>
      <c r="EC107" s="80"/>
      <c r="ED107" s="80"/>
      <c r="EE107" s="80"/>
      <c r="EF107" s="80"/>
      <c r="EG107" s="80"/>
      <c r="EH107" s="80"/>
      <c r="EI107" s="80"/>
      <c r="EJ107" s="80"/>
      <c r="EK107" s="80"/>
      <c r="EL107" s="80"/>
    </row>
    <row r="108" spans="1:142" ht="28.15" hidden="1" customHeight="1" x14ac:dyDescent="0.2">
      <c r="A108" s="1" t="s">
        <v>271</v>
      </c>
      <c r="B108" s="16">
        <f>+B76</f>
        <v>0</v>
      </c>
      <c r="C108" s="1">
        <v>0</v>
      </c>
      <c r="D108" s="1">
        <v>0</v>
      </c>
      <c r="E108" s="1">
        <v>0</v>
      </c>
      <c r="F108" s="1" t="str">
        <f>IF(F35=$AB$5,$Z$5,(IF(F35=$AB$6,$Z$6,(IF(F35=$AB$8,$Z$8,(IF(F35=$AB$7,$Z$7,(IF(F35=$AB$9,$Z$9,("error"))))))))))</f>
        <v>error</v>
      </c>
      <c r="G108" s="1">
        <f>IF(G76=$AD$6,$AE$6,(IF(G76=$AD$7,$AE$7,(IF(G76=$AD$8,$AE$8,0)))))</f>
        <v>0</v>
      </c>
      <c r="H108" s="1"/>
      <c r="I108" s="1">
        <f t="shared" si="85"/>
        <v>0</v>
      </c>
      <c r="J108" s="1"/>
      <c r="K108" s="1" t="e">
        <f t="shared" si="86"/>
        <v>#N/A</v>
      </c>
      <c r="L108" s="1"/>
      <c r="M108" s="1">
        <f>VLOOKUP(C76,$D$129:$H$134,5)</f>
        <v>178</v>
      </c>
      <c r="N108" s="6">
        <f t="shared" si="53"/>
        <v>194</v>
      </c>
      <c r="P108" s="1" t="e">
        <f t="shared" si="73"/>
        <v>#VALUE!</v>
      </c>
      <c r="Q108" s="1">
        <f>+VLOOKUP(C76,$D$129:$M$134,10)</f>
        <v>2.5</v>
      </c>
      <c r="R108" s="1" t="e">
        <f t="shared" si="55"/>
        <v>#VALUE!</v>
      </c>
      <c r="S108" s="1">
        <f>VLOOKUP(C76,$D$124:$M$128,10)</f>
        <v>5</v>
      </c>
      <c r="T108" s="1" t="e">
        <f t="shared" si="39"/>
        <v>#VALUE!</v>
      </c>
      <c r="U108" s="1" t="e">
        <f t="shared" si="40"/>
        <v>#VALUE!</v>
      </c>
      <c r="V108" s="4">
        <f>VLOOKUP(C76,$D$135:$L$145,5)*B108</f>
        <v>0</v>
      </c>
      <c r="W108" s="23" t="e">
        <f>(VLOOKUP(C39,D$146:J$151,AD108)*B108)+F108</f>
        <v>#REF!</v>
      </c>
      <c r="X108" s="4" t="e">
        <f t="shared" si="33"/>
        <v>#VALUE!</v>
      </c>
      <c r="Y108" s="4" t="e">
        <f t="shared" si="33"/>
        <v>#VALUE!</v>
      </c>
      <c r="Z108" s="4">
        <f t="shared" si="41"/>
        <v>0</v>
      </c>
      <c r="AA108" s="4"/>
      <c r="AB108" s="1">
        <v>0</v>
      </c>
      <c r="AD108" s="17" t="e">
        <f>VLOOKUP(D40,$W$113:$X$117,2,TRUE)</f>
        <v>#N/A</v>
      </c>
      <c r="AL108" s="1">
        <f t="shared" si="44"/>
        <v>0</v>
      </c>
      <c r="AM108" s="5" t="s">
        <v>272</v>
      </c>
      <c r="AN108" s="6" t="s">
        <v>273</v>
      </c>
      <c r="AO108" s="1">
        <v>5</v>
      </c>
      <c r="AR108" s="1">
        <v>2200</v>
      </c>
      <c r="AS108" s="1">
        <v>2400</v>
      </c>
      <c r="AT108" s="1">
        <v>2600</v>
      </c>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row>
    <row r="109" spans="1:142" ht="28.15" hidden="1" customHeight="1" x14ac:dyDescent="0.2">
      <c r="A109" s="1"/>
      <c r="B109" s="1"/>
      <c r="C109" s="1"/>
      <c r="D109" s="1"/>
      <c r="E109" s="18"/>
      <c r="F109" s="1" t="str">
        <f>IF(F77=$AB$5,$Z$5,(IF(F77=$AB$6,$Z$6,(IF(F77=$AB$8,$Z$8,(IF(F77=$AB$7,$Z$7,("error"))))))))</f>
        <v>error</v>
      </c>
      <c r="G109" s="4"/>
      <c r="H109" s="4"/>
      <c r="I109" s="4"/>
      <c r="J109" s="4"/>
      <c r="K109" s="4"/>
      <c r="L109" s="4"/>
      <c r="M109" s="4"/>
      <c r="N109" s="4"/>
      <c r="O109" s="4"/>
      <c r="P109" s="4"/>
      <c r="Q109" s="4"/>
      <c r="R109" s="4"/>
      <c r="S109" s="4"/>
      <c r="T109" s="4"/>
      <c r="U109" s="4"/>
      <c r="V109" s="4"/>
      <c r="W109" s="4"/>
      <c r="X109" s="4"/>
      <c r="Y109" s="4"/>
      <c r="Z109" s="4"/>
      <c r="AA109" s="4"/>
      <c r="AL109" s="1">
        <f t="shared" si="44"/>
        <v>0</v>
      </c>
      <c r="AM109" s="5" t="s">
        <v>274</v>
      </c>
      <c r="AN109" s="6" t="s">
        <v>275</v>
      </c>
      <c r="AO109" s="1">
        <v>2</v>
      </c>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row>
    <row r="110" spans="1:142" ht="28.15" hidden="1" customHeight="1" x14ac:dyDescent="0.2">
      <c r="A110" s="1"/>
      <c r="B110" s="1"/>
      <c r="C110" s="1"/>
      <c r="D110" s="1"/>
      <c r="E110" s="18"/>
      <c r="F110" s="4"/>
      <c r="G110" s="4"/>
      <c r="H110" s="4"/>
      <c r="I110" s="4"/>
      <c r="J110" s="4"/>
      <c r="K110" s="4"/>
      <c r="L110" s="4"/>
      <c r="M110" s="4"/>
      <c r="N110" s="4"/>
      <c r="O110" s="4"/>
      <c r="P110" s="4"/>
      <c r="Q110" s="4"/>
      <c r="R110" s="4"/>
      <c r="S110" s="4"/>
      <c r="T110" s="4"/>
      <c r="U110" s="4"/>
      <c r="V110" s="4"/>
      <c r="W110" s="4"/>
      <c r="X110" s="4"/>
      <c r="Y110" s="4"/>
      <c r="Z110" s="4"/>
      <c r="AA110" s="4"/>
      <c r="AL110" s="1">
        <f t="shared" si="44"/>
        <v>0</v>
      </c>
      <c r="AM110" s="5" t="s">
        <v>276</v>
      </c>
      <c r="AN110" s="6" t="s">
        <v>277</v>
      </c>
      <c r="AO110" s="1">
        <v>1</v>
      </c>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row>
    <row r="111" spans="1:142" ht="28.15" hidden="1" customHeight="1" x14ac:dyDescent="0.2">
      <c r="A111" s="1"/>
      <c r="B111" s="1"/>
      <c r="C111" s="1"/>
      <c r="D111" s="1"/>
      <c r="E111" s="18"/>
      <c r="F111" s="4"/>
      <c r="G111" s="4"/>
      <c r="H111" s="4"/>
      <c r="I111" s="4"/>
      <c r="J111" s="4"/>
      <c r="K111" s="4"/>
      <c r="L111" s="4"/>
      <c r="M111" s="4"/>
      <c r="N111" s="4"/>
      <c r="O111" s="4"/>
      <c r="P111" s="4"/>
      <c r="Q111" s="4"/>
      <c r="R111" s="4"/>
      <c r="S111" s="4"/>
      <c r="T111" s="4"/>
      <c r="U111" s="4"/>
      <c r="V111" s="4"/>
      <c r="W111" s="4"/>
      <c r="X111" s="4"/>
      <c r="Y111" s="4"/>
      <c r="Z111" s="4"/>
      <c r="AA111" s="4"/>
      <c r="AM111" s="5" t="s">
        <v>278</v>
      </c>
      <c r="AN111" s="6" t="s">
        <v>279</v>
      </c>
      <c r="AO111" s="1">
        <v>1</v>
      </c>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row>
    <row r="112" spans="1:142" ht="28.15" hidden="1" customHeight="1" x14ac:dyDescent="0.2">
      <c r="A112" s="1"/>
      <c r="B112" s="1"/>
      <c r="C112" s="1"/>
      <c r="D112" s="1"/>
      <c r="E112" s="18"/>
      <c r="F112" s="4"/>
      <c r="G112" s="4"/>
      <c r="H112" s="4"/>
      <c r="I112" s="4"/>
      <c r="J112" s="4"/>
      <c r="K112" s="4"/>
      <c r="L112" s="4"/>
      <c r="M112" s="4"/>
      <c r="N112" s="4"/>
      <c r="O112" s="4"/>
      <c r="P112" s="4"/>
      <c r="Q112" s="4"/>
      <c r="R112" s="4"/>
      <c r="S112" s="4"/>
      <c r="T112" s="4"/>
      <c r="U112" s="4"/>
      <c r="V112" s="4"/>
      <c r="W112" s="4"/>
      <c r="X112" s="4"/>
      <c r="Y112" s="4"/>
      <c r="Z112" s="4"/>
      <c r="AA112" s="4"/>
      <c r="AC112" s="1" t="s">
        <v>587</v>
      </c>
      <c r="AD112" s="1" t="s">
        <v>588</v>
      </c>
      <c r="AM112" s="5" t="s">
        <v>280</v>
      </c>
      <c r="AN112" s="6" t="s">
        <v>281</v>
      </c>
      <c r="AO112" s="1">
        <v>1</v>
      </c>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row>
    <row r="113" spans="1:142" ht="28.15" hidden="1" customHeight="1" x14ac:dyDescent="0.2">
      <c r="A113" s="1"/>
      <c r="B113" s="1"/>
      <c r="C113" s="1"/>
      <c r="D113" s="1"/>
      <c r="E113" s="18"/>
      <c r="F113" s="4"/>
      <c r="G113" s="4"/>
      <c r="H113" s="4"/>
      <c r="I113" s="4"/>
      <c r="J113" s="4"/>
      <c r="K113" s="4"/>
      <c r="L113" s="4"/>
      <c r="M113" s="4"/>
      <c r="N113" s="4"/>
      <c r="O113" s="4"/>
      <c r="P113" s="4"/>
      <c r="Q113" s="4"/>
      <c r="R113" s="4"/>
      <c r="S113" s="4"/>
      <c r="T113" s="4"/>
      <c r="U113" s="4"/>
      <c r="V113" s="4"/>
      <c r="W113" s="25">
        <v>1950</v>
      </c>
      <c r="X113" s="25">
        <v>5</v>
      </c>
      <c r="Y113" s="4"/>
      <c r="Z113" s="24">
        <v>10</v>
      </c>
      <c r="AA113" s="24"/>
      <c r="AB113" s="24">
        <v>0</v>
      </c>
      <c r="AC113" s="1">
        <v>0</v>
      </c>
      <c r="AD113" s="1">
        <v>0</v>
      </c>
      <c r="AM113" s="5" t="s">
        <v>282</v>
      </c>
      <c r="AN113" s="6" t="s">
        <v>283</v>
      </c>
      <c r="AO113" s="1">
        <v>1</v>
      </c>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row>
    <row r="114" spans="1:142" ht="28.15" hidden="1" customHeight="1" x14ac:dyDescent="0.2">
      <c r="A114" s="1"/>
      <c r="B114" s="1"/>
      <c r="C114" s="1"/>
      <c r="D114" s="1"/>
      <c r="E114" s="18"/>
      <c r="F114" s="4"/>
      <c r="G114" s="4"/>
      <c r="H114" s="4"/>
      <c r="I114" s="4"/>
      <c r="J114" s="4"/>
      <c r="K114" s="4"/>
      <c r="L114" s="4"/>
      <c r="M114" s="4"/>
      <c r="N114" s="4"/>
      <c r="O114" s="4"/>
      <c r="P114" s="4"/>
      <c r="Q114" s="4"/>
      <c r="R114" s="4"/>
      <c r="S114" s="4"/>
      <c r="T114" s="4"/>
      <c r="U114" s="4"/>
      <c r="V114" s="4"/>
      <c r="W114" s="25">
        <v>2000</v>
      </c>
      <c r="X114" s="25">
        <v>5</v>
      </c>
      <c r="Y114" s="4"/>
      <c r="Z114" s="24">
        <v>2131</v>
      </c>
      <c r="AA114" s="24"/>
      <c r="AB114" s="24">
        <v>36</v>
      </c>
      <c r="AC114" s="1">
        <v>0</v>
      </c>
      <c r="AD114" s="1">
        <v>0</v>
      </c>
      <c r="AM114" s="5" t="s">
        <v>284</v>
      </c>
      <c r="AN114" s="6" t="s">
        <v>285</v>
      </c>
      <c r="AO114" s="1">
        <v>1</v>
      </c>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row>
    <row r="115" spans="1:142" ht="28.15" hidden="1" customHeight="1" x14ac:dyDescent="0.2">
      <c r="A115" s="1"/>
      <c r="B115" s="1"/>
      <c r="C115" s="1"/>
      <c r="D115" s="1"/>
      <c r="E115" s="18"/>
      <c r="F115" s="4"/>
      <c r="G115" s="4"/>
      <c r="H115" s="4"/>
      <c r="I115" s="4"/>
      <c r="J115" s="4"/>
      <c r="K115" s="4"/>
      <c r="L115" s="4"/>
      <c r="M115" s="4"/>
      <c r="N115" s="4"/>
      <c r="O115" s="4"/>
      <c r="P115" s="4"/>
      <c r="Q115" s="4"/>
      <c r="R115" s="4"/>
      <c r="S115" s="4"/>
      <c r="T115" s="4"/>
      <c r="U115" s="4"/>
      <c r="V115" s="4"/>
      <c r="W115" s="25">
        <v>2200</v>
      </c>
      <c r="X115" s="25">
        <v>6</v>
      </c>
      <c r="Y115" s="4"/>
      <c r="Z115" s="24">
        <v>2601</v>
      </c>
      <c r="AA115" s="24"/>
      <c r="AB115" s="24">
        <v>72</v>
      </c>
      <c r="AC115" s="1">
        <v>10</v>
      </c>
      <c r="AD115" s="1">
        <v>20</v>
      </c>
      <c r="AM115" s="5" t="s">
        <v>286</v>
      </c>
      <c r="AN115" s="6" t="s">
        <v>287</v>
      </c>
      <c r="AO115" s="1">
        <v>1</v>
      </c>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row>
    <row r="116" spans="1:142" ht="28.15" hidden="1" customHeight="1" x14ac:dyDescent="0.2">
      <c r="A116" s="1"/>
      <c r="B116" s="1"/>
      <c r="C116" s="1"/>
      <c r="D116" s="1"/>
      <c r="E116" s="18"/>
      <c r="F116" s="4"/>
      <c r="G116" s="4"/>
      <c r="H116" s="4"/>
      <c r="I116" s="4"/>
      <c r="J116" s="4"/>
      <c r="K116" s="4"/>
      <c r="L116" s="4"/>
      <c r="M116" s="4"/>
      <c r="N116" s="4"/>
      <c r="O116" s="4"/>
      <c r="P116" s="4"/>
      <c r="Q116" s="4"/>
      <c r="R116" s="4"/>
      <c r="S116" s="4"/>
      <c r="T116" s="4"/>
      <c r="U116" s="4"/>
      <c r="V116" s="4"/>
      <c r="W116" s="25">
        <v>2400</v>
      </c>
      <c r="X116" s="25">
        <v>7</v>
      </c>
      <c r="Y116" s="4"/>
      <c r="Z116" s="24">
        <v>3001</v>
      </c>
      <c r="AA116" s="24"/>
      <c r="AB116" s="24">
        <v>72</v>
      </c>
      <c r="AC116" s="1">
        <v>20</v>
      </c>
      <c r="AD116" s="1">
        <v>40</v>
      </c>
      <c r="AM116" s="5" t="s">
        <v>288</v>
      </c>
      <c r="AN116" s="6" t="s">
        <v>289</v>
      </c>
      <c r="AO116" s="1">
        <v>1</v>
      </c>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row>
    <row r="117" spans="1:142" ht="28.15" hidden="1" customHeight="1" x14ac:dyDescent="0.2">
      <c r="A117" s="1"/>
      <c r="B117" s="1"/>
      <c r="C117" s="1"/>
      <c r="D117" s="1"/>
      <c r="E117" s="18"/>
      <c r="F117" s="4"/>
      <c r="G117" s="4"/>
      <c r="H117" s="4"/>
      <c r="I117" s="4"/>
      <c r="J117" s="4"/>
      <c r="K117" s="4"/>
      <c r="L117" s="4"/>
      <c r="M117" s="4"/>
      <c r="N117" s="4"/>
      <c r="O117" s="4"/>
      <c r="P117" s="4"/>
      <c r="Q117" s="4"/>
      <c r="R117" s="4"/>
      <c r="S117" s="4"/>
      <c r="T117" s="4"/>
      <c r="U117" s="4"/>
      <c r="V117" s="4"/>
      <c r="W117" s="25">
        <v>2600</v>
      </c>
      <c r="X117" s="25">
        <v>7</v>
      </c>
      <c r="Y117" s="4"/>
      <c r="Z117" s="24">
        <v>4000</v>
      </c>
      <c r="AA117" s="24"/>
      <c r="AB117" s="24">
        <v>72</v>
      </c>
      <c r="AM117" s="5" t="s">
        <v>290</v>
      </c>
      <c r="AN117" s="6" t="s">
        <v>291</v>
      </c>
      <c r="AO117" s="1">
        <v>1</v>
      </c>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row>
    <row r="118" spans="1:142" ht="28.15" hidden="1" customHeight="1" x14ac:dyDescent="0.2">
      <c r="A118" s="1"/>
      <c r="B118" s="1"/>
      <c r="C118" s="1"/>
      <c r="D118" s="1"/>
      <c r="E118" s="18"/>
      <c r="F118" s="4"/>
      <c r="G118" s="4"/>
      <c r="H118" s="4"/>
      <c r="I118" s="4"/>
      <c r="J118" s="4"/>
      <c r="K118" s="1"/>
      <c r="L118" s="1"/>
      <c r="M118" s="1"/>
      <c r="N118" s="1"/>
      <c r="AM118" s="5" t="s">
        <v>292</v>
      </c>
      <c r="AN118" s="6" t="s">
        <v>293</v>
      </c>
      <c r="AO118" s="1">
        <v>1</v>
      </c>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row>
    <row r="119" spans="1:142" ht="28.15" hidden="1" customHeight="1" x14ac:dyDescent="0.2">
      <c r="A119" s="1"/>
      <c r="B119" s="1"/>
      <c r="C119" s="1"/>
      <c r="D119" s="1"/>
      <c r="E119" s="18"/>
      <c r="F119" s="1"/>
      <c r="G119" s="1"/>
      <c r="H119" s="1"/>
      <c r="I119" s="1"/>
      <c r="J119" s="1"/>
      <c r="K119" s="1"/>
      <c r="L119" s="1"/>
      <c r="M119" s="1"/>
      <c r="N119" s="1"/>
      <c r="AM119" s="5" t="s">
        <v>294</v>
      </c>
      <c r="AN119" s="6" t="s">
        <v>295</v>
      </c>
      <c r="AO119" s="1">
        <v>1</v>
      </c>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row>
    <row r="120" spans="1:142" ht="28.15" hidden="1" customHeight="1" x14ac:dyDescent="0.2">
      <c r="A120" s="1"/>
      <c r="B120" s="1"/>
      <c r="C120" s="1"/>
      <c r="D120" s="1"/>
      <c r="E120" s="18"/>
      <c r="F120" s="1">
        <v>1.5</v>
      </c>
      <c r="G120" s="19">
        <f>+G125/F125</f>
        <v>0.85106382978723405</v>
      </c>
      <c r="H120" s="1"/>
      <c r="I120" s="1"/>
      <c r="J120" s="1"/>
      <c r="K120" s="1"/>
      <c r="L120" s="1"/>
      <c r="M120" s="1"/>
      <c r="N120" s="1"/>
      <c r="AM120" s="5" t="s">
        <v>296</v>
      </c>
      <c r="AN120" s="6" t="s">
        <v>297</v>
      </c>
      <c r="AO120" s="1">
        <v>1</v>
      </c>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row>
    <row r="121" spans="1:142" ht="28.15" hidden="1" customHeight="1" x14ac:dyDescent="0.2">
      <c r="A121" s="1"/>
      <c r="B121" s="1"/>
      <c r="C121" s="1"/>
      <c r="D121" s="1"/>
      <c r="E121" s="18"/>
      <c r="F121" s="1" t="s">
        <v>298</v>
      </c>
      <c r="G121" s="1" t="s">
        <v>299</v>
      </c>
      <c r="H121" s="1" t="s">
        <v>22</v>
      </c>
      <c r="I121" s="1">
        <f>+I122*2</f>
        <v>80</v>
      </c>
      <c r="J121" s="1">
        <f>+J122*2</f>
        <v>160</v>
      </c>
      <c r="K121" s="1" t="s">
        <v>300</v>
      </c>
      <c r="L121" s="1" t="s">
        <v>301</v>
      </c>
      <c r="M121" s="1"/>
      <c r="N121" s="1" t="s">
        <v>300</v>
      </c>
      <c r="P121" s="1" t="s">
        <v>301</v>
      </c>
      <c r="AM121" s="5" t="s">
        <v>302</v>
      </c>
      <c r="AN121" s="6" t="s">
        <v>303</v>
      </c>
      <c r="AO121" s="1">
        <v>2</v>
      </c>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row>
    <row r="122" spans="1:142" ht="28.15" hidden="1" customHeight="1" x14ac:dyDescent="0.2">
      <c r="A122" s="1"/>
      <c r="B122" s="1"/>
      <c r="C122" s="1"/>
      <c r="D122" s="1"/>
      <c r="E122" s="18"/>
      <c r="F122" s="1"/>
      <c r="G122" s="1"/>
      <c r="H122" s="1">
        <v>1</v>
      </c>
      <c r="I122" s="1">
        <v>40</v>
      </c>
      <c r="J122" s="1">
        <v>80</v>
      </c>
      <c r="K122" s="1">
        <f>+Z6</f>
        <v>1</v>
      </c>
      <c r="L122" s="1">
        <f>+Z8</f>
        <v>1</v>
      </c>
      <c r="M122" s="1"/>
      <c r="N122" s="1"/>
      <c r="AM122" s="5" t="s">
        <v>304</v>
      </c>
      <c r="AN122" s="6" t="s">
        <v>305</v>
      </c>
      <c r="AO122" s="1">
        <v>1</v>
      </c>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row>
    <row r="123" spans="1:142" ht="28.15" hidden="1" customHeight="1" x14ac:dyDescent="0.2">
      <c r="A123" s="1" t="s">
        <v>306</v>
      </c>
      <c r="B123" s="1" t="s">
        <v>307</v>
      </c>
      <c r="C123" s="1" t="s">
        <v>308</v>
      </c>
      <c r="D123" s="1" t="s">
        <v>309</v>
      </c>
      <c r="E123" s="18" t="s">
        <v>310</v>
      </c>
      <c r="F123" s="1" t="s">
        <v>298</v>
      </c>
      <c r="G123" s="1" t="s">
        <v>299</v>
      </c>
      <c r="H123" s="1" t="s">
        <v>311</v>
      </c>
      <c r="I123" s="1">
        <v>2600</v>
      </c>
      <c r="J123" s="1">
        <v>3000</v>
      </c>
      <c r="K123" s="1" t="s">
        <v>311</v>
      </c>
      <c r="L123" s="1" t="s">
        <v>311</v>
      </c>
      <c r="M123" s="1" t="s">
        <v>80</v>
      </c>
      <c r="N123" s="1"/>
      <c r="R123" s="127" t="s">
        <v>22</v>
      </c>
      <c r="S123" s="127" t="s">
        <v>584</v>
      </c>
      <c r="T123" s="127" t="s">
        <v>301</v>
      </c>
      <c r="U123" s="127" t="s">
        <v>586</v>
      </c>
      <c r="V123" s="127" t="s">
        <v>598</v>
      </c>
      <c r="AM123" s="5" t="s">
        <v>312</v>
      </c>
      <c r="AN123" s="6" t="s">
        <v>313</v>
      </c>
      <c r="AO123" s="1">
        <v>1</v>
      </c>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row>
    <row r="124" spans="1:142" ht="28.15" hidden="1" customHeight="1" x14ac:dyDescent="0.2">
      <c r="A124" s="1"/>
      <c r="B124" s="1"/>
      <c r="C124" s="1"/>
      <c r="D124" s="1">
        <v>0</v>
      </c>
      <c r="E124" s="18">
        <v>0</v>
      </c>
      <c r="F124" s="4">
        <v>299</v>
      </c>
      <c r="G124" s="4">
        <f>+F124/1.175</f>
        <v>254.46808510638297</v>
      </c>
      <c r="H124" s="26">
        <v>194</v>
      </c>
      <c r="I124" s="23">
        <f>+H124+I122</f>
        <v>234</v>
      </c>
      <c r="J124" s="23">
        <f>+H124+J122</f>
        <v>274</v>
      </c>
      <c r="K124" s="4">
        <v>150</v>
      </c>
      <c r="L124" s="4">
        <f>+H124*$L$122</f>
        <v>194</v>
      </c>
      <c r="M124" s="1">
        <v>5</v>
      </c>
      <c r="N124" s="20">
        <f>+K124-H124</f>
        <v>-44</v>
      </c>
      <c r="O124" s="20"/>
      <c r="P124" s="20">
        <f>+L124-H124</f>
        <v>0</v>
      </c>
      <c r="R124" s="1">
        <v>194</v>
      </c>
      <c r="S124" s="1">
        <v>242</v>
      </c>
      <c r="T124" s="1">
        <v>262</v>
      </c>
      <c r="U124" s="1">
        <v>48</v>
      </c>
      <c r="V124" s="1">
        <f>+T124-R124</f>
        <v>68</v>
      </c>
      <c r="AM124" s="5" t="s">
        <v>314</v>
      </c>
      <c r="AN124" s="6" t="s">
        <v>315</v>
      </c>
      <c r="AO124" s="1">
        <v>1</v>
      </c>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row>
    <row r="125" spans="1:142" ht="28.15" hidden="1" customHeight="1" x14ac:dyDescent="0.2">
      <c r="A125" s="1" t="s">
        <v>92</v>
      </c>
      <c r="B125" s="1" t="s">
        <v>316</v>
      </c>
      <c r="C125" s="1">
        <v>2130</v>
      </c>
      <c r="D125" s="1">
        <v>915</v>
      </c>
      <c r="E125" s="18">
        <f>CONVERT(D125,"mm","ft")</f>
        <v>3.0019685039370079</v>
      </c>
      <c r="F125" s="4">
        <v>325</v>
      </c>
      <c r="G125" s="4">
        <f>+F125/1.175</f>
        <v>276.59574468085106</v>
      </c>
      <c r="H125" s="26">
        <v>206</v>
      </c>
      <c r="I125" s="23">
        <f>+H125+I122</f>
        <v>246</v>
      </c>
      <c r="J125" s="23">
        <f>+H125+J122</f>
        <v>286</v>
      </c>
      <c r="K125" s="4">
        <v>160</v>
      </c>
      <c r="L125" s="4">
        <f>+H125*$L$122</f>
        <v>206</v>
      </c>
      <c r="M125" s="1">
        <v>5.5</v>
      </c>
      <c r="N125" s="20">
        <f t="shared" ref="N125:N133" si="89">+K125-H125</f>
        <v>-46</v>
      </c>
      <c r="O125" s="20"/>
      <c r="P125" s="20">
        <f t="shared" ref="P125:P133" si="90">+L125-H125</f>
        <v>0</v>
      </c>
      <c r="R125" s="1">
        <v>206</v>
      </c>
      <c r="S125" s="1">
        <v>258</v>
      </c>
      <c r="T125" s="1">
        <v>278</v>
      </c>
      <c r="U125" s="1">
        <v>52</v>
      </c>
      <c r="V125" s="1">
        <f t="shared" ref="V125:V127" si="91">+T125-R125</f>
        <v>72</v>
      </c>
      <c r="AM125" s="5" t="s">
        <v>317</v>
      </c>
      <c r="AN125" s="6" t="s">
        <v>318</v>
      </c>
      <c r="AO125" s="1">
        <v>1</v>
      </c>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row>
    <row r="126" spans="1:142" ht="28.15" hidden="1" customHeight="1" x14ac:dyDescent="0.2">
      <c r="A126" s="1" t="s">
        <v>92</v>
      </c>
      <c r="B126" s="1" t="s">
        <v>316</v>
      </c>
      <c r="C126" s="1">
        <v>2130</v>
      </c>
      <c r="D126" s="1">
        <v>1221</v>
      </c>
      <c r="E126" s="18">
        <f t="shared" ref="E126:E159" si="92">CONVERT(D126,"mm","ft")</f>
        <v>4.0059055118110241</v>
      </c>
      <c r="F126" s="4">
        <v>585</v>
      </c>
      <c r="G126" s="4">
        <f>+F126/1.175</f>
        <v>497.87234042553189</v>
      </c>
      <c r="H126" s="26">
        <v>376</v>
      </c>
      <c r="I126" s="23">
        <f>+H126+I121</f>
        <v>456</v>
      </c>
      <c r="J126" s="23">
        <f>+H126+J121</f>
        <v>536</v>
      </c>
      <c r="K126" s="4">
        <v>290</v>
      </c>
      <c r="L126" s="4">
        <f>+H126*$L$122</f>
        <v>376</v>
      </c>
      <c r="M126" s="1">
        <v>10</v>
      </c>
      <c r="N126" s="20">
        <f t="shared" si="89"/>
        <v>-86</v>
      </c>
      <c r="O126" s="20"/>
      <c r="P126" s="20">
        <f t="shared" si="90"/>
        <v>0</v>
      </c>
      <c r="R126" s="1">
        <v>376</v>
      </c>
      <c r="S126" s="1">
        <v>469</v>
      </c>
      <c r="T126" s="1">
        <v>506</v>
      </c>
      <c r="U126" s="1">
        <v>93</v>
      </c>
      <c r="V126" s="1">
        <f t="shared" si="91"/>
        <v>130</v>
      </c>
      <c r="AM126" s="5" t="s">
        <v>319</v>
      </c>
      <c r="AN126" s="6" t="s">
        <v>320</v>
      </c>
      <c r="AO126" s="1">
        <v>1</v>
      </c>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row>
    <row r="127" spans="1:142" ht="28.15" hidden="1" customHeight="1" x14ac:dyDescent="0.2">
      <c r="A127" s="1" t="s">
        <v>92</v>
      </c>
      <c r="B127" s="1" t="s">
        <v>316</v>
      </c>
      <c r="C127" s="1">
        <v>2130</v>
      </c>
      <c r="D127" s="1">
        <v>1831</v>
      </c>
      <c r="E127" s="18">
        <f t="shared" si="92"/>
        <v>6.007217847769029</v>
      </c>
      <c r="F127" s="4">
        <v>635</v>
      </c>
      <c r="G127" s="4">
        <f>+F127/1.175</f>
        <v>540.42553191489355</v>
      </c>
      <c r="H127" s="26">
        <v>400</v>
      </c>
      <c r="I127" s="23">
        <f>+H127+I121</f>
        <v>480</v>
      </c>
      <c r="J127" s="23">
        <f>+H127+J121</f>
        <v>560</v>
      </c>
      <c r="K127" s="4">
        <v>310</v>
      </c>
      <c r="L127" s="4">
        <f>+H127*$L$122</f>
        <v>400</v>
      </c>
      <c r="M127" s="1">
        <v>11</v>
      </c>
      <c r="N127" s="20">
        <f t="shared" si="89"/>
        <v>-90</v>
      </c>
      <c r="O127" s="20"/>
      <c r="P127" s="20">
        <f t="shared" si="90"/>
        <v>0</v>
      </c>
      <c r="R127" s="1">
        <v>400</v>
      </c>
      <c r="S127" s="1">
        <v>500</v>
      </c>
      <c r="T127" s="1">
        <v>539</v>
      </c>
      <c r="U127" s="1">
        <v>100</v>
      </c>
      <c r="V127" s="1">
        <f t="shared" si="91"/>
        <v>139</v>
      </c>
      <c r="AM127" s="5" t="s">
        <v>321</v>
      </c>
      <c r="AN127" s="6" t="s">
        <v>322</v>
      </c>
      <c r="AO127" s="1">
        <v>1</v>
      </c>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row>
    <row r="128" spans="1:142" ht="28.15" hidden="1" customHeight="1" x14ac:dyDescent="0.2">
      <c r="A128" s="1" t="s">
        <v>92</v>
      </c>
      <c r="B128" s="1" t="s">
        <v>316</v>
      </c>
      <c r="C128" s="1">
        <v>2130</v>
      </c>
      <c r="D128" s="1">
        <v>2441</v>
      </c>
      <c r="E128" s="18">
        <f t="shared" si="92"/>
        <v>8.008530183727034</v>
      </c>
      <c r="F128" s="4">
        <v>0</v>
      </c>
      <c r="G128" s="4">
        <v>0</v>
      </c>
      <c r="H128" s="4">
        <v>0</v>
      </c>
      <c r="I128" s="4" t="s">
        <v>600</v>
      </c>
      <c r="J128" s="4" t="s">
        <v>601</v>
      </c>
      <c r="K128" s="4">
        <v>0</v>
      </c>
      <c r="L128" s="4">
        <v>0</v>
      </c>
      <c r="M128" s="1">
        <v>0</v>
      </c>
      <c r="N128" s="20">
        <f t="shared" si="89"/>
        <v>0</v>
      </c>
      <c r="O128" s="20"/>
      <c r="P128" s="20">
        <f t="shared" si="90"/>
        <v>0</v>
      </c>
      <c r="AM128" s="5" t="s">
        <v>323</v>
      </c>
      <c r="AN128" s="6" t="s">
        <v>324</v>
      </c>
      <c r="AO128" s="1">
        <v>1</v>
      </c>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row>
    <row r="129" spans="1:142" ht="28.15" hidden="1" customHeight="1" x14ac:dyDescent="0.25">
      <c r="A129" s="1"/>
      <c r="B129" s="1"/>
      <c r="C129" s="1"/>
      <c r="D129" s="1">
        <v>0</v>
      </c>
      <c r="E129" s="18">
        <f t="shared" si="92"/>
        <v>0</v>
      </c>
      <c r="F129" s="4">
        <v>189</v>
      </c>
      <c r="G129" s="4">
        <f>+F129/1.175</f>
        <v>160.85106382978722</v>
      </c>
      <c r="H129" s="132">
        <v>178</v>
      </c>
      <c r="I129" s="132">
        <v>222</v>
      </c>
      <c r="J129" s="132">
        <v>240</v>
      </c>
      <c r="K129" s="4">
        <f t="shared" ref="K129:K133" si="93">+H129*$K$122</f>
        <v>178</v>
      </c>
      <c r="L129" s="4">
        <f>+H129*$L$122</f>
        <v>178</v>
      </c>
      <c r="M129" s="1">
        <v>2.5</v>
      </c>
      <c r="N129" s="20">
        <f t="shared" si="89"/>
        <v>0</v>
      </c>
      <c r="O129" s="20"/>
      <c r="P129" s="20">
        <f t="shared" si="90"/>
        <v>0</v>
      </c>
      <c r="R129" s="20">
        <f>+H129</f>
        <v>178</v>
      </c>
      <c r="S129" s="133">
        <v>222</v>
      </c>
      <c r="T129" s="132">
        <v>240</v>
      </c>
      <c r="U129" s="20">
        <f>+S129-R129</f>
        <v>44</v>
      </c>
      <c r="V129" s="20">
        <f>+T129-R129</f>
        <v>62</v>
      </c>
      <c r="AM129" s="5" t="s">
        <v>325</v>
      </c>
      <c r="AN129" s="6" t="s">
        <v>326</v>
      </c>
      <c r="AO129" s="1">
        <v>1</v>
      </c>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row>
    <row r="130" spans="1:142" ht="28.15" hidden="1" customHeight="1" x14ac:dyDescent="0.25">
      <c r="A130" s="1" t="s">
        <v>327</v>
      </c>
      <c r="B130" s="1" t="s">
        <v>316</v>
      </c>
      <c r="C130" s="1">
        <v>1980</v>
      </c>
      <c r="D130" s="1">
        <v>611</v>
      </c>
      <c r="E130" s="18">
        <f t="shared" si="92"/>
        <v>2.0045931758530187</v>
      </c>
      <c r="F130" s="4">
        <v>214</v>
      </c>
      <c r="G130" s="4">
        <f>+F130/1.175</f>
        <v>182.12765957446808</v>
      </c>
      <c r="H130" s="132">
        <v>194</v>
      </c>
      <c r="I130" s="132">
        <v>242</v>
      </c>
      <c r="J130" s="132">
        <v>263</v>
      </c>
      <c r="K130" s="4">
        <f t="shared" si="93"/>
        <v>194</v>
      </c>
      <c r="L130" s="4">
        <f>+H130*$L$122</f>
        <v>194</v>
      </c>
      <c r="M130" s="1">
        <v>3.25</v>
      </c>
      <c r="N130" s="20">
        <f t="shared" si="89"/>
        <v>0</v>
      </c>
      <c r="O130" s="20"/>
      <c r="P130" s="20">
        <f t="shared" si="90"/>
        <v>0</v>
      </c>
      <c r="R130" s="20">
        <f t="shared" ref="R130:R133" si="94">+H130</f>
        <v>194</v>
      </c>
      <c r="S130" s="133">
        <v>242</v>
      </c>
      <c r="T130" s="132">
        <v>263</v>
      </c>
      <c r="U130" s="20">
        <f t="shared" ref="U130:U133" si="95">+S130-R130</f>
        <v>48</v>
      </c>
      <c r="V130" s="20">
        <f t="shared" ref="V130:V133" si="96">+T130-R130</f>
        <v>69</v>
      </c>
      <c r="AM130" s="5" t="s">
        <v>328</v>
      </c>
      <c r="AN130" s="6" t="s">
        <v>329</v>
      </c>
      <c r="AO130" s="1">
        <v>1</v>
      </c>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row>
    <row r="131" spans="1:142" ht="28.15" hidden="1" customHeight="1" x14ac:dyDescent="0.25">
      <c r="A131" s="1" t="s">
        <v>327</v>
      </c>
      <c r="B131" s="1" t="s">
        <v>316</v>
      </c>
      <c r="C131" s="1">
        <v>1980</v>
      </c>
      <c r="D131" s="1">
        <f>+D130+305</f>
        <v>916</v>
      </c>
      <c r="E131" s="18">
        <f t="shared" si="92"/>
        <v>3.0052493438320211</v>
      </c>
      <c r="F131" s="4">
        <v>239</v>
      </c>
      <c r="G131" s="4">
        <f>+F131/1.175</f>
        <v>203.40425531914892</v>
      </c>
      <c r="H131" s="132">
        <v>210</v>
      </c>
      <c r="I131" s="132">
        <v>263</v>
      </c>
      <c r="J131" s="132">
        <v>283</v>
      </c>
      <c r="K131" s="4">
        <f t="shared" si="93"/>
        <v>210</v>
      </c>
      <c r="L131" s="4">
        <f>+H131*$L$122</f>
        <v>210</v>
      </c>
      <c r="M131" s="1">
        <v>4</v>
      </c>
      <c r="N131" s="20">
        <f t="shared" si="89"/>
        <v>0</v>
      </c>
      <c r="O131" s="20"/>
      <c r="P131" s="20">
        <f t="shared" si="90"/>
        <v>0</v>
      </c>
      <c r="R131" s="20">
        <f t="shared" si="94"/>
        <v>210</v>
      </c>
      <c r="S131" s="133">
        <v>263</v>
      </c>
      <c r="T131" s="132">
        <v>283</v>
      </c>
      <c r="U131" s="20">
        <f t="shared" si="95"/>
        <v>53</v>
      </c>
      <c r="V131" s="20">
        <f t="shared" si="96"/>
        <v>73</v>
      </c>
      <c r="AM131" s="5" t="s">
        <v>330</v>
      </c>
      <c r="AN131" s="6" t="s">
        <v>331</v>
      </c>
      <c r="AO131" s="1">
        <v>5</v>
      </c>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row>
    <row r="132" spans="1:142" ht="28.15" hidden="1" customHeight="1" x14ac:dyDescent="0.25">
      <c r="A132" s="1" t="s">
        <v>327</v>
      </c>
      <c r="B132" s="1" t="s">
        <v>316</v>
      </c>
      <c r="C132" s="1">
        <v>1980</v>
      </c>
      <c r="D132" s="1">
        <f>+D131+305</f>
        <v>1221</v>
      </c>
      <c r="E132" s="18">
        <f t="shared" si="92"/>
        <v>4.0059055118110241</v>
      </c>
      <c r="F132" s="4">
        <v>258</v>
      </c>
      <c r="G132" s="4">
        <f>+F132/1.175</f>
        <v>219.57446808510636</v>
      </c>
      <c r="H132" s="132">
        <v>223</v>
      </c>
      <c r="I132" s="132">
        <v>280</v>
      </c>
      <c r="J132" s="132">
        <v>302</v>
      </c>
      <c r="K132" s="4">
        <f t="shared" si="93"/>
        <v>223</v>
      </c>
      <c r="L132" s="4">
        <f>+H132*$L$122</f>
        <v>223</v>
      </c>
      <c r="M132" s="1">
        <v>4.75</v>
      </c>
      <c r="N132" s="20">
        <f t="shared" si="89"/>
        <v>0</v>
      </c>
      <c r="O132" s="20"/>
      <c r="P132" s="20">
        <f t="shared" si="90"/>
        <v>0</v>
      </c>
      <c r="R132" s="20">
        <f t="shared" si="94"/>
        <v>223</v>
      </c>
      <c r="S132" s="133">
        <v>280</v>
      </c>
      <c r="T132" s="132">
        <v>302</v>
      </c>
      <c r="U132" s="20">
        <f t="shared" si="95"/>
        <v>57</v>
      </c>
      <c r="V132" s="20">
        <f t="shared" si="96"/>
        <v>79</v>
      </c>
      <c r="AM132" s="5" t="s">
        <v>332</v>
      </c>
      <c r="AN132" s="6" t="s">
        <v>333</v>
      </c>
      <c r="AO132" s="1">
        <v>1</v>
      </c>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row>
    <row r="133" spans="1:142" ht="28.15" hidden="1" customHeight="1" x14ac:dyDescent="0.25">
      <c r="A133" s="1" t="s">
        <v>327</v>
      </c>
      <c r="B133" s="1" t="s">
        <v>316</v>
      </c>
      <c r="C133" s="1">
        <v>1980</v>
      </c>
      <c r="D133" s="1">
        <v>1526</v>
      </c>
      <c r="E133" s="18">
        <f t="shared" si="92"/>
        <v>5.0065616797900265</v>
      </c>
      <c r="F133" s="4">
        <v>279</v>
      </c>
      <c r="G133" s="4">
        <f>+F133/1.175</f>
        <v>237.44680851063828</v>
      </c>
      <c r="H133" s="132">
        <v>236</v>
      </c>
      <c r="I133" s="132">
        <v>295</v>
      </c>
      <c r="J133" s="132">
        <v>319</v>
      </c>
      <c r="K133" s="4">
        <f t="shared" si="93"/>
        <v>236</v>
      </c>
      <c r="L133" s="4">
        <f>+H133*$L$122</f>
        <v>236</v>
      </c>
      <c r="M133" s="1">
        <v>5.5</v>
      </c>
      <c r="N133" s="20">
        <f t="shared" si="89"/>
        <v>0</v>
      </c>
      <c r="O133" s="20"/>
      <c r="P133" s="20">
        <f t="shared" si="90"/>
        <v>0</v>
      </c>
      <c r="R133" s="20">
        <f t="shared" si="94"/>
        <v>236</v>
      </c>
      <c r="S133" s="133">
        <v>295</v>
      </c>
      <c r="T133" s="132">
        <v>319</v>
      </c>
      <c r="U133" s="20">
        <f t="shared" si="95"/>
        <v>59</v>
      </c>
      <c r="V133" s="20">
        <f t="shared" si="96"/>
        <v>83</v>
      </c>
      <c r="AM133" s="5" t="s">
        <v>334</v>
      </c>
      <c r="AN133" s="6" t="s">
        <v>335</v>
      </c>
      <c r="AO133" s="1">
        <v>5</v>
      </c>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row>
    <row r="134" spans="1:142" ht="28.15" hidden="1" customHeight="1" x14ac:dyDescent="0.2">
      <c r="A134" s="1" t="s">
        <v>327</v>
      </c>
      <c r="B134" s="1" t="s">
        <v>316</v>
      </c>
      <c r="C134" s="1">
        <v>1980</v>
      </c>
      <c r="D134" s="1">
        <f>+D133+305</f>
        <v>1831</v>
      </c>
      <c r="E134" s="18">
        <f t="shared" si="92"/>
        <v>6.007217847769029</v>
      </c>
      <c r="F134" s="4">
        <v>0</v>
      </c>
      <c r="G134" s="4">
        <v>0</v>
      </c>
      <c r="H134" s="4" t="s">
        <v>336</v>
      </c>
      <c r="I134" s="4"/>
      <c r="J134" s="4"/>
      <c r="K134" s="4">
        <v>0</v>
      </c>
      <c r="L134" s="4">
        <v>0</v>
      </c>
      <c r="M134" s="1">
        <v>0</v>
      </c>
      <c r="N134" s="20">
        <v>0</v>
      </c>
      <c r="O134" s="20"/>
      <c r="P134" s="20">
        <v>0</v>
      </c>
      <c r="AM134" s="5" t="s">
        <v>337</v>
      </c>
      <c r="AN134" s="6" t="s">
        <v>338</v>
      </c>
      <c r="AO134" s="1">
        <v>1</v>
      </c>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row>
    <row r="135" spans="1:142" ht="28.15" hidden="1" customHeight="1" x14ac:dyDescent="0.25">
      <c r="A135" s="1"/>
      <c r="B135" s="1"/>
      <c r="C135" s="1"/>
      <c r="D135" s="1">
        <v>0</v>
      </c>
      <c r="E135" s="18">
        <v>0</v>
      </c>
      <c r="F135" s="4">
        <f>+$F$120*H135</f>
        <v>1345.5</v>
      </c>
      <c r="G135" s="4">
        <f>+F135*$G$120</f>
        <v>1145.1063829787233</v>
      </c>
      <c r="H135" s="4">
        <v>897</v>
      </c>
      <c r="I135" s="4"/>
      <c r="J135" s="4"/>
      <c r="K135" s="1" t="s">
        <v>339</v>
      </c>
      <c r="L135" s="1"/>
      <c r="M135" s="1"/>
      <c r="N135" s="1"/>
      <c r="S135" s="129">
        <v>222.11750000000001</v>
      </c>
      <c r="T135" s="1">
        <v>240.1575</v>
      </c>
      <c r="AM135" s="5" t="s">
        <v>340</v>
      </c>
      <c r="AN135" s="6" t="s">
        <v>341</v>
      </c>
      <c r="AO135" s="1">
        <v>1</v>
      </c>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row>
    <row r="136" spans="1:142" ht="28.15" hidden="1" customHeight="1" x14ac:dyDescent="0.25">
      <c r="A136" s="1" t="s">
        <v>342</v>
      </c>
      <c r="B136" s="1" t="s">
        <v>343</v>
      </c>
      <c r="C136" s="1">
        <v>2200</v>
      </c>
      <c r="D136" s="1">
        <v>1001</v>
      </c>
      <c r="E136" s="18">
        <f t="shared" si="92"/>
        <v>3.2841207349081367</v>
      </c>
      <c r="F136" s="4">
        <f t="shared" ref="F136:F144" si="97">+$F$120*H136</f>
        <v>2014.5</v>
      </c>
      <c r="G136" s="4">
        <f t="shared" ref="G136:G150" si="98">+F136*$G$120</f>
        <v>1714.4680851063829</v>
      </c>
      <c r="H136" s="4">
        <v>1343</v>
      </c>
      <c r="I136" s="4"/>
      <c r="J136" s="4"/>
      <c r="K136" s="1" t="s">
        <v>339</v>
      </c>
      <c r="L136" s="1"/>
      <c r="M136" s="1"/>
      <c r="N136" s="1"/>
      <c r="S136" s="129">
        <v>242.41249999999999</v>
      </c>
      <c r="T136" s="1">
        <v>262.70749999999998</v>
      </c>
      <c r="AM136" s="5" t="s">
        <v>344</v>
      </c>
      <c r="AN136" s="6" t="s">
        <v>345</v>
      </c>
      <c r="AO136" s="1">
        <v>1</v>
      </c>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row>
    <row r="137" spans="1:142" ht="28.15" hidden="1" customHeight="1" x14ac:dyDescent="0.25">
      <c r="A137" s="1" t="s">
        <v>342</v>
      </c>
      <c r="B137" s="1" t="s">
        <v>343</v>
      </c>
      <c r="C137" s="1">
        <v>2200</v>
      </c>
      <c r="D137" s="1">
        <f>+D136+1000</f>
        <v>2001</v>
      </c>
      <c r="E137" s="18">
        <f t="shared" si="92"/>
        <v>6.5649606299212602</v>
      </c>
      <c r="F137" s="4">
        <f t="shared" si="97"/>
        <v>2767.5</v>
      </c>
      <c r="G137" s="4">
        <f t="shared" si="98"/>
        <v>2355.3191489361702</v>
      </c>
      <c r="H137" s="4">
        <v>1845</v>
      </c>
      <c r="I137" s="129"/>
      <c r="J137" s="4"/>
      <c r="K137" s="1" t="s">
        <v>339</v>
      </c>
      <c r="L137" s="1"/>
      <c r="M137" s="1"/>
      <c r="N137" s="1"/>
      <c r="S137" s="129">
        <v>262.70749999999998</v>
      </c>
      <c r="T137" s="1">
        <v>283.0025</v>
      </c>
      <c r="AM137" s="5" t="s">
        <v>346</v>
      </c>
      <c r="AN137" s="6" t="s">
        <v>347</v>
      </c>
      <c r="AO137" s="1">
        <v>1</v>
      </c>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row>
    <row r="138" spans="1:142" ht="28.15" hidden="1" customHeight="1" x14ac:dyDescent="0.25">
      <c r="A138" s="1" t="s">
        <v>342</v>
      </c>
      <c r="B138" s="1" t="s">
        <v>343</v>
      </c>
      <c r="C138" s="1">
        <v>2200</v>
      </c>
      <c r="D138" s="1">
        <f t="shared" ref="D138:D145" si="99">+D137+1000</f>
        <v>3001</v>
      </c>
      <c r="E138" s="18">
        <f t="shared" si="92"/>
        <v>9.8458005249343827</v>
      </c>
      <c r="F138" s="4">
        <f t="shared" si="97"/>
        <v>3523.5</v>
      </c>
      <c r="G138" s="4">
        <f t="shared" si="98"/>
        <v>2998.7234042553191</v>
      </c>
      <c r="H138" s="4">
        <v>2349</v>
      </c>
      <c r="I138" s="129"/>
      <c r="J138" s="4"/>
      <c r="K138" s="1" t="s">
        <v>339</v>
      </c>
      <c r="L138" s="1"/>
      <c r="M138" s="1"/>
      <c r="N138" s="1"/>
      <c r="S138" s="129">
        <v>279.62</v>
      </c>
      <c r="T138" s="1">
        <v>302.16999999999996</v>
      </c>
      <c r="AM138" s="5" t="s">
        <v>348</v>
      </c>
      <c r="AN138" s="6" t="s">
        <v>349</v>
      </c>
      <c r="AO138" s="1">
        <v>1</v>
      </c>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row>
    <row r="139" spans="1:142" ht="28.15" hidden="1" customHeight="1" x14ac:dyDescent="0.25">
      <c r="A139" s="1" t="s">
        <v>342</v>
      </c>
      <c r="B139" s="1" t="s">
        <v>343</v>
      </c>
      <c r="C139" s="1">
        <v>2200</v>
      </c>
      <c r="D139" s="1">
        <f t="shared" si="99"/>
        <v>4001</v>
      </c>
      <c r="E139" s="18">
        <f t="shared" si="92"/>
        <v>13.126640419947508</v>
      </c>
      <c r="F139" s="4">
        <f t="shared" si="97"/>
        <v>4342.5</v>
      </c>
      <c r="G139" s="4">
        <f t="shared" si="98"/>
        <v>3695.744680851064</v>
      </c>
      <c r="H139" s="4">
        <v>2895</v>
      </c>
      <c r="I139" s="129"/>
      <c r="J139" s="4"/>
      <c r="K139" s="1" t="s">
        <v>339</v>
      </c>
      <c r="L139" s="1"/>
      <c r="M139" s="1"/>
      <c r="N139" s="1"/>
      <c r="S139" s="129">
        <v>295.40500000000003</v>
      </c>
      <c r="T139" s="1">
        <v>319.08249999999998</v>
      </c>
      <c r="AM139" s="5" t="s">
        <v>350</v>
      </c>
      <c r="AN139" s="6" t="s">
        <v>351</v>
      </c>
      <c r="AO139" s="1">
        <v>1</v>
      </c>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row>
    <row r="140" spans="1:142" ht="28.15" hidden="1" customHeight="1" x14ac:dyDescent="0.25">
      <c r="A140" s="1" t="s">
        <v>342</v>
      </c>
      <c r="B140" s="1" t="s">
        <v>343</v>
      </c>
      <c r="C140" s="1">
        <v>2200</v>
      </c>
      <c r="D140" s="1">
        <f t="shared" si="99"/>
        <v>5001</v>
      </c>
      <c r="E140" s="18">
        <f t="shared" si="92"/>
        <v>16.40748031496063</v>
      </c>
      <c r="F140" s="4">
        <f t="shared" si="97"/>
        <v>5106</v>
      </c>
      <c r="G140" s="4">
        <f t="shared" si="98"/>
        <v>4345.5319148936169</v>
      </c>
      <c r="H140" s="4">
        <v>3404</v>
      </c>
      <c r="I140" s="129"/>
      <c r="J140" s="4"/>
      <c r="K140" s="1" t="s">
        <v>339</v>
      </c>
      <c r="L140" s="1"/>
      <c r="M140" s="1"/>
      <c r="N140" s="1"/>
      <c r="AM140" s="5" t="s">
        <v>352</v>
      </c>
      <c r="AN140" s="6" t="s">
        <v>353</v>
      </c>
      <c r="AO140" s="1">
        <v>1</v>
      </c>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row>
    <row r="141" spans="1:142" ht="28.15" hidden="1" customHeight="1" x14ac:dyDescent="0.25">
      <c r="A141" s="1" t="s">
        <v>342</v>
      </c>
      <c r="B141" s="1" t="s">
        <v>343</v>
      </c>
      <c r="C141" s="1">
        <v>2200</v>
      </c>
      <c r="D141" s="1">
        <f t="shared" si="99"/>
        <v>6001</v>
      </c>
      <c r="E141" s="18">
        <f t="shared" si="92"/>
        <v>19.688320209973753</v>
      </c>
      <c r="F141" s="4">
        <f t="shared" si="97"/>
        <v>5949</v>
      </c>
      <c r="G141" s="4">
        <f t="shared" si="98"/>
        <v>5062.9787234042551</v>
      </c>
      <c r="H141" s="4">
        <v>3966</v>
      </c>
      <c r="I141" s="129"/>
      <c r="J141" s="4"/>
      <c r="K141" s="1" t="s">
        <v>339</v>
      </c>
      <c r="L141" s="1"/>
      <c r="M141" s="1"/>
      <c r="N141" s="1"/>
      <c r="AM141" s="5" t="s">
        <v>354</v>
      </c>
      <c r="AN141" s="6" t="s">
        <v>355</v>
      </c>
      <c r="AO141" s="1">
        <v>1</v>
      </c>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row>
    <row r="142" spans="1:142" ht="28.15" hidden="1" customHeight="1" x14ac:dyDescent="0.2">
      <c r="A142" s="1" t="s">
        <v>342</v>
      </c>
      <c r="B142" s="1" t="s">
        <v>343</v>
      </c>
      <c r="C142" s="1">
        <v>2200</v>
      </c>
      <c r="D142" s="1">
        <f t="shared" si="99"/>
        <v>7001</v>
      </c>
      <c r="E142" s="18">
        <f t="shared" si="92"/>
        <v>22.969160104986877</v>
      </c>
      <c r="F142" s="4">
        <f t="shared" si="97"/>
        <v>6669</v>
      </c>
      <c r="G142" s="4">
        <f t="shared" si="98"/>
        <v>5675.744680851064</v>
      </c>
      <c r="H142" s="4">
        <v>4446</v>
      </c>
      <c r="I142" s="4"/>
      <c r="J142" s="4"/>
      <c r="K142" s="1" t="s">
        <v>339</v>
      </c>
      <c r="L142" s="1"/>
      <c r="M142" s="1"/>
      <c r="N142" s="1"/>
      <c r="AM142" s="5" t="s">
        <v>356</v>
      </c>
      <c r="AN142" s="6" t="s">
        <v>357</v>
      </c>
      <c r="AO142" s="1">
        <v>1</v>
      </c>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row>
    <row r="143" spans="1:142" ht="28.15" hidden="1" customHeight="1" x14ac:dyDescent="0.2">
      <c r="A143" s="1" t="s">
        <v>342</v>
      </c>
      <c r="B143" s="1" t="s">
        <v>343</v>
      </c>
      <c r="C143" s="1">
        <v>2200</v>
      </c>
      <c r="D143" s="1">
        <f t="shared" si="99"/>
        <v>8001</v>
      </c>
      <c r="E143" s="18">
        <f t="shared" si="92"/>
        <v>26.25</v>
      </c>
      <c r="F143" s="4">
        <f t="shared" si="97"/>
        <v>7537.5</v>
      </c>
      <c r="G143" s="4">
        <f t="shared" si="98"/>
        <v>6414.8936170212764</v>
      </c>
      <c r="H143" s="4">
        <v>5025</v>
      </c>
      <c r="I143" s="4"/>
      <c r="J143" s="4"/>
      <c r="K143" s="1" t="s">
        <v>339</v>
      </c>
      <c r="L143" s="1"/>
      <c r="M143" s="1"/>
      <c r="N143" s="1"/>
      <c r="AM143" s="5" t="s">
        <v>358</v>
      </c>
      <c r="AN143" s="6" t="s">
        <v>359</v>
      </c>
      <c r="AO143" s="1">
        <v>1</v>
      </c>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row>
    <row r="144" spans="1:142" ht="28.15" hidden="1" customHeight="1" x14ac:dyDescent="0.2">
      <c r="A144" s="1" t="s">
        <v>342</v>
      </c>
      <c r="B144" s="1" t="s">
        <v>343</v>
      </c>
      <c r="C144" s="1">
        <v>2200</v>
      </c>
      <c r="D144" s="1">
        <f t="shared" si="99"/>
        <v>9001</v>
      </c>
      <c r="E144" s="18">
        <f t="shared" si="92"/>
        <v>29.530839895013123</v>
      </c>
      <c r="F144" s="4">
        <f t="shared" si="97"/>
        <v>8316</v>
      </c>
      <c r="G144" s="4">
        <f t="shared" si="98"/>
        <v>7077.4468085106382</v>
      </c>
      <c r="H144" s="4">
        <v>5544</v>
      </c>
      <c r="I144" s="4"/>
      <c r="J144" s="4"/>
      <c r="K144" s="1" t="s">
        <v>339</v>
      </c>
      <c r="L144" s="1"/>
      <c r="M144" s="1"/>
      <c r="N144" s="1"/>
      <c r="R144" s="1" t="s">
        <v>602</v>
      </c>
      <c r="S144" s="1" t="s">
        <v>602</v>
      </c>
      <c r="T144" s="1" t="s">
        <v>602</v>
      </c>
      <c r="AM144" s="5" t="s">
        <v>360</v>
      </c>
      <c r="AN144" s="6" t="s">
        <v>361</v>
      </c>
      <c r="AO144" s="1">
        <v>1</v>
      </c>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row>
    <row r="145" spans="1:142" ht="28.15" hidden="1" customHeight="1" x14ac:dyDescent="0.2">
      <c r="A145" s="1" t="s">
        <v>342</v>
      </c>
      <c r="B145" s="1" t="s">
        <v>343</v>
      </c>
      <c r="C145" s="1">
        <v>2200</v>
      </c>
      <c r="D145" s="1">
        <f t="shared" si="99"/>
        <v>10001</v>
      </c>
      <c r="E145" s="18">
        <f t="shared" si="92"/>
        <v>32.811679790026247</v>
      </c>
      <c r="F145" s="4">
        <v>0</v>
      </c>
      <c r="G145" s="4">
        <v>0</v>
      </c>
      <c r="H145" s="4">
        <v>0</v>
      </c>
      <c r="I145" s="4"/>
      <c r="J145" s="4"/>
      <c r="K145" s="1">
        <v>0</v>
      </c>
      <c r="L145" s="1"/>
      <c r="M145" s="1"/>
      <c r="N145" s="1" t="s">
        <v>602</v>
      </c>
      <c r="R145" s="1">
        <v>2200</v>
      </c>
      <c r="S145" s="1">
        <v>2400</v>
      </c>
      <c r="T145" s="1">
        <v>2600</v>
      </c>
      <c r="AM145" s="5" t="s">
        <v>362</v>
      </c>
      <c r="AN145" s="6" t="s">
        <v>363</v>
      </c>
      <c r="AO145" s="1">
        <v>1</v>
      </c>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row>
    <row r="146" spans="1:142" ht="28.15" hidden="1" customHeight="1" x14ac:dyDescent="0.2">
      <c r="A146" s="1"/>
      <c r="B146" s="1"/>
      <c r="C146" s="1"/>
      <c r="D146" s="1">
        <v>0</v>
      </c>
      <c r="E146" s="18"/>
      <c r="F146" s="4">
        <f>+$F$120*H146</f>
        <v>667.5</v>
      </c>
      <c r="G146" s="4">
        <f t="shared" si="98"/>
        <v>568.08510638297878</v>
      </c>
      <c r="H146" s="26">
        <v>445</v>
      </c>
      <c r="I146" s="62">
        <v>481</v>
      </c>
      <c r="J146" s="62">
        <v>513</v>
      </c>
      <c r="K146" s="1" t="s">
        <v>339</v>
      </c>
      <c r="L146" s="1"/>
      <c r="M146" s="1">
        <v>15</v>
      </c>
      <c r="N146" s="1">
        <v>111</v>
      </c>
      <c r="O146" s="20">
        <f>+N146+H146</f>
        <v>556</v>
      </c>
      <c r="R146" s="1">
        <v>111</v>
      </c>
      <c r="S146" s="1">
        <v>120</v>
      </c>
      <c r="T146" s="1">
        <v>130</v>
      </c>
      <c r="AM146" s="5" t="s">
        <v>364</v>
      </c>
      <c r="AN146" s="6" t="s">
        <v>365</v>
      </c>
      <c r="AO146" s="1">
        <v>1</v>
      </c>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row>
    <row r="147" spans="1:142" ht="28.15" hidden="1" customHeight="1" x14ac:dyDescent="0.2">
      <c r="A147" s="1" t="s">
        <v>366</v>
      </c>
      <c r="B147" s="1" t="s">
        <v>343</v>
      </c>
      <c r="C147" s="1">
        <v>2200</v>
      </c>
      <c r="D147" s="1">
        <v>1001</v>
      </c>
      <c r="E147" s="18">
        <f t="shared" si="92"/>
        <v>3.2841207349081367</v>
      </c>
      <c r="F147" s="4">
        <f>+$F$120*H147</f>
        <v>769.5</v>
      </c>
      <c r="G147" s="4">
        <f t="shared" si="98"/>
        <v>654.89361702127655</v>
      </c>
      <c r="H147" s="26">
        <v>513</v>
      </c>
      <c r="I147" s="62">
        <v>548</v>
      </c>
      <c r="J147" s="62">
        <v>583</v>
      </c>
      <c r="K147" s="1" t="s">
        <v>339</v>
      </c>
      <c r="L147" s="1"/>
      <c r="M147" s="1">
        <v>15</v>
      </c>
      <c r="N147" s="1">
        <v>130</v>
      </c>
      <c r="O147" s="20">
        <f t="shared" ref="O147:O150" si="100">+N147+H147</f>
        <v>643</v>
      </c>
      <c r="R147" s="1">
        <v>130</v>
      </c>
      <c r="S147" s="1">
        <v>138</v>
      </c>
      <c r="T147" s="1">
        <v>142</v>
      </c>
      <c r="AM147" s="5" t="s">
        <v>367</v>
      </c>
      <c r="AN147" s="6" t="s">
        <v>368</v>
      </c>
      <c r="AO147" s="1">
        <v>1</v>
      </c>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row>
    <row r="148" spans="1:142" ht="28.15" hidden="1" customHeight="1" x14ac:dyDescent="0.2">
      <c r="A148" s="1" t="s">
        <v>369</v>
      </c>
      <c r="B148" s="1" t="s">
        <v>343</v>
      </c>
      <c r="C148" s="1">
        <v>2200</v>
      </c>
      <c r="D148" s="1">
        <v>1501</v>
      </c>
      <c r="E148" s="18">
        <f>CONVERT(D148,"mm","ft")</f>
        <v>4.9245406824146984</v>
      </c>
      <c r="F148" s="4">
        <f>+$F$120*H148</f>
        <v>849</v>
      </c>
      <c r="G148" s="4">
        <f>+F148*$G$120</f>
        <v>722.55319148936167</v>
      </c>
      <c r="H148" s="26">
        <v>566</v>
      </c>
      <c r="I148" s="62">
        <v>601</v>
      </c>
      <c r="J148" s="62">
        <v>633</v>
      </c>
      <c r="K148" s="1" t="s">
        <v>339</v>
      </c>
      <c r="L148" s="1"/>
      <c r="M148" s="1">
        <v>15</v>
      </c>
      <c r="N148" s="1">
        <v>141</v>
      </c>
      <c r="O148" s="20">
        <f t="shared" si="100"/>
        <v>707</v>
      </c>
      <c r="R148" s="1">
        <v>141</v>
      </c>
      <c r="S148" s="1">
        <v>149</v>
      </c>
      <c r="T148" s="1">
        <v>158</v>
      </c>
      <c r="AM148" s="5" t="s">
        <v>367</v>
      </c>
      <c r="AN148" s="6" t="s">
        <v>368</v>
      </c>
      <c r="AO148" s="1">
        <v>1</v>
      </c>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row>
    <row r="149" spans="1:142" ht="28.15" hidden="1" customHeight="1" x14ac:dyDescent="0.2">
      <c r="A149" s="1" t="s">
        <v>370</v>
      </c>
      <c r="B149" s="1" t="s">
        <v>343</v>
      </c>
      <c r="C149" s="1">
        <v>2200</v>
      </c>
      <c r="D149" s="1">
        <f>+D147+1000</f>
        <v>2001</v>
      </c>
      <c r="E149" s="18">
        <f t="shared" si="92"/>
        <v>6.5649606299212602</v>
      </c>
      <c r="F149" s="4">
        <f>+$F$120*H149</f>
        <v>1539</v>
      </c>
      <c r="G149" s="4">
        <f t="shared" si="98"/>
        <v>1309.7872340425531</v>
      </c>
      <c r="H149" s="26">
        <v>1026</v>
      </c>
      <c r="I149" s="62">
        <v>1096</v>
      </c>
      <c r="J149" s="62">
        <v>1166</v>
      </c>
      <c r="K149" s="1" t="s">
        <v>339</v>
      </c>
      <c r="L149" s="1"/>
      <c r="M149" s="1">
        <v>30</v>
      </c>
      <c r="N149" s="1">
        <v>260</v>
      </c>
      <c r="O149" s="20">
        <f t="shared" si="100"/>
        <v>1286</v>
      </c>
      <c r="R149" s="1">
        <v>260</v>
      </c>
      <c r="S149" s="1">
        <v>276</v>
      </c>
      <c r="T149" s="1">
        <v>284</v>
      </c>
      <c r="AM149" s="5" t="s">
        <v>371</v>
      </c>
      <c r="AN149" s="6" t="s">
        <v>372</v>
      </c>
      <c r="AO149" s="1">
        <v>1</v>
      </c>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row>
    <row r="150" spans="1:142" ht="28.15" hidden="1" customHeight="1" x14ac:dyDescent="0.2">
      <c r="A150" s="1" t="s">
        <v>373</v>
      </c>
      <c r="B150" s="1" t="s">
        <v>343</v>
      </c>
      <c r="C150" s="1">
        <v>2200</v>
      </c>
      <c r="D150" s="1">
        <f>+D149+1000</f>
        <v>3001</v>
      </c>
      <c r="E150" s="18">
        <f t="shared" si="92"/>
        <v>9.8458005249343827</v>
      </c>
      <c r="F150" s="4">
        <f>+$F$120*H150</f>
        <v>1698</v>
      </c>
      <c r="G150" s="4">
        <f t="shared" si="98"/>
        <v>1445.1063829787233</v>
      </c>
      <c r="H150" s="26">
        <v>1132</v>
      </c>
      <c r="I150" s="62">
        <v>1202</v>
      </c>
      <c r="J150" s="62">
        <v>1266</v>
      </c>
      <c r="K150" s="1" t="s">
        <v>339</v>
      </c>
      <c r="L150" s="1"/>
      <c r="M150" s="1">
        <v>30</v>
      </c>
      <c r="N150" s="1">
        <v>282</v>
      </c>
      <c r="O150" s="20">
        <f t="shared" si="100"/>
        <v>1414</v>
      </c>
      <c r="R150" s="1">
        <v>282</v>
      </c>
      <c r="S150" s="1">
        <v>298</v>
      </c>
      <c r="T150" s="1">
        <v>316</v>
      </c>
      <c r="AM150" s="5" t="s">
        <v>374</v>
      </c>
      <c r="AN150" s="6" t="s">
        <v>375</v>
      </c>
      <c r="AO150" s="1">
        <v>1</v>
      </c>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row>
    <row r="151" spans="1:142" ht="28.15" hidden="1" customHeight="1" x14ac:dyDescent="0.2">
      <c r="A151" s="1" t="s">
        <v>373</v>
      </c>
      <c r="B151" s="1" t="s">
        <v>343</v>
      </c>
      <c r="C151" s="1">
        <v>2200</v>
      </c>
      <c r="D151" s="1">
        <f>+D150+1000</f>
        <v>4001</v>
      </c>
      <c r="E151" s="18">
        <f t="shared" si="92"/>
        <v>13.126640419947508</v>
      </c>
      <c r="F151" s="4">
        <v>0</v>
      </c>
      <c r="G151" s="4">
        <v>0</v>
      </c>
      <c r="H151" s="4">
        <v>0</v>
      </c>
      <c r="I151" s="4"/>
      <c r="J151" s="4"/>
      <c r="K151" s="1">
        <v>0</v>
      </c>
      <c r="L151" s="1"/>
      <c r="M151" s="1"/>
      <c r="N151" s="1"/>
      <c r="AM151" s="5" t="s">
        <v>376</v>
      </c>
      <c r="AN151" s="6" t="s">
        <v>377</v>
      </c>
      <c r="AO151" s="1">
        <v>1</v>
      </c>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row>
    <row r="152" spans="1:142" ht="28.15" hidden="1" customHeight="1" x14ac:dyDescent="0.2">
      <c r="A152" s="1" t="s">
        <v>378</v>
      </c>
      <c r="B152" s="1" t="s">
        <v>379</v>
      </c>
      <c r="C152" s="1">
        <v>2500</v>
      </c>
      <c r="D152" s="1">
        <v>1000</v>
      </c>
      <c r="E152" s="18">
        <f t="shared" si="92"/>
        <v>3.2808398950131235</v>
      </c>
      <c r="F152" s="4"/>
      <c r="G152" s="4"/>
      <c r="H152" s="63">
        <v>936</v>
      </c>
      <c r="I152" s="4"/>
      <c r="J152" s="4"/>
      <c r="K152" s="1" t="s">
        <v>380</v>
      </c>
      <c r="L152" s="1"/>
      <c r="M152" s="1"/>
      <c r="N152" s="1"/>
      <c r="AM152" s="5" t="s">
        <v>381</v>
      </c>
      <c r="AN152" s="6" t="s">
        <v>382</v>
      </c>
      <c r="AO152" s="1">
        <v>1</v>
      </c>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row>
    <row r="153" spans="1:142" ht="28.15" hidden="1" customHeight="1" x14ac:dyDescent="0.2">
      <c r="A153" s="1" t="s">
        <v>378</v>
      </c>
      <c r="B153" s="1" t="s">
        <v>379</v>
      </c>
      <c r="C153" s="1">
        <v>2500</v>
      </c>
      <c r="D153" s="1">
        <v>2000</v>
      </c>
      <c r="E153" s="18">
        <f t="shared" si="92"/>
        <v>6.5616797900262469</v>
      </c>
      <c r="F153" s="4"/>
      <c r="G153" s="4"/>
      <c r="H153" s="63">
        <v>1066</v>
      </c>
      <c r="I153" s="4"/>
      <c r="J153" s="4"/>
      <c r="K153" s="1" t="s">
        <v>380</v>
      </c>
      <c r="L153" s="1"/>
      <c r="M153" s="1"/>
      <c r="N153" s="1"/>
      <c r="AM153" s="5" t="s">
        <v>383</v>
      </c>
      <c r="AN153" s="6" t="s">
        <v>384</v>
      </c>
      <c r="AO153" s="1">
        <v>1</v>
      </c>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row>
    <row r="154" spans="1:142" ht="28.15" hidden="1" customHeight="1" x14ac:dyDescent="0.2">
      <c r="A154" s="1" t="s">
        <v>378</v>
      </c>
      <c r="B154" s="1" t="s">
        <v>379</v>
      </c>
      <c r="C154" s="1">
        <v>2500</v>
      </c>
      <c r="D154" s="1">
        <v>3000</v>
      </c>
      <c r="E154" s="18">
        <f t="shared" si="92"/>
        <v>9.8425196850393704</v>
      </c>
      <c r="F154" s="4"/>
      <c r="G154" s="4"/>
      <c r="H154" s="63">
        <v>1276</v>
      </c>
      <c r="I154" s="4"/>
      <c r="J154" s="4"/>
      <c r="K154" s="1" t="s">
        <v>380</v>
      </c>
      <c r="L154" s="1"/>
      <c r="M154" s="1"/>
      <c r="N154" s="1"/>
      <c r="AM154" s="5" t="s">
        <v>385</v>
      </c>
      <c r="AN154" s="6" t="s">
        <v>386</v>
      </c>
      <c r="AO154" s="1">
        <v>1</v>
      </c>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row>
    <row r="155" spans="1:142" ht="28.15" hidden="1" customHeight="1" x14ac:dyDescent="0.2">
      <c r="A155" s="1" t="s">
        <v>387</v>
      </c>
      <c r="B155" s="1" t="s">
        <v>379</v>
      </c>
      <c r="C155" s="1">
        <v>2500</v>
      </c>
      <c r="D155" s="1">
        <v>4000</v>
      </c>
      <c r="E155" s="18">
        <f t="shared" si="92"/>
        <v>13.123359580052494</v>
      </c>
      <c r="F155" s="4"/>
      <c r="G155" s="4"/>
      <c r="H155" s="63">
        <v>1741</v>
      </c>
      <c r="I155" s="4"/>
      <c r="J155" s="4"/>
      <c r="K155" s="1" t="s">
        <v>380</v>
      </c>
      <c r="L155" s="1"/>
      <c r="M155" s="1"/>
      <c r="N155" s="1"/>
      <c r="AM155" s="5" t="s">
        <v>388</v>
      </c>
      <c r="AN155" s="6" t="s">
        <v>389</v>
      </c>
      <c r="AO155" s="1">
        <v>1</v>
      </c>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row>
    <row r="156" spans="1:142" ht="28.15" hidden="1" customHeight="1" x14ac:dyDescent="0.2">
      <c r="A156" s="1" t="s">
        <v>387</v>
      </c>
      <c r="B156" s="1" t="s">
        <v>379</v>
      </c>
      <c r="C156" s="1">
        <v>2500</v>
      </c>
      <c r="D156" s="1">
        <v>5000</v>
      </c>
      <c r="E156" s="18">
        <f t="shared" si="92"/>
        <v>16.404199475065617</v>
      </c>
      <c r="F156" s="4"/>
      <c r="G156" s="4"/>
      <c r="H156" s="63">
        <v>1966</v>
      </c>
      <c r="I156" s="4"/>
      <c r="J156" s="4"/>
      <c r="K156" s="1" t="s">
        <v>380</v>
      </c>
      <c r="L156" s="1"/>
      <c r="M156" s="1"/>
      <c r="N156" s="1"/>
      <c r="AM156" s="5" t="s">
        <v>390</v>
      </c>
      <c r="AN156" s="6" t="s">
        <v>391</v>
      </c>
      <c r="AO156" s="1">
        <v>1</v>
      </c>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row>
    <row r="157" spans="1:142" ht="28.15" hidden="1" customHeight="1" x14ac:dyDescent="0.2">
      <c r="A157" s="1" t="s">
        <v>392</v>
      </c>
      <c r="B157" s="1" t="s">
        <v>379</v>
      </c>
      <c r="C157" s="1">
        <v>2500</v>
      </c>
      <c r="D157" s="1">
        <v>6000</v>
      </c>
      <c r="E157" s="18">
        <f t="shared" si="92"/>
        <v>19.685039370078741</v>
      </c>
      <c r="F157" s="4"/>
      <c r="G157" s="4"/>
      <c r="H157" s="63">
        <v>1965</v>
      </c>
      <c r="I157" s="4"/>
      <c r="J157" s="4"/>
      <c r="K157" s="1" t="s">
        <v>380</v>
      </c>
      <c r="L157" s="1"/>
      <c r="M157" s="1"/>
      <c r="N157" s="1"/>
      <c r="AM157" s="5" t="s">
        <v>393</v>
      </c>
      <c r="AN157" s="6" t="s">
        <v>394</v>
      </c>
      <c r="AO157" s="1">
        <v>2</v>
      </c>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row>
    <row r="158" spans="1:142" ht="28.15" hidden="1" customHeight="1" x14ac:dyDescent="0.2">
      <c r="A158" s="1" t="s">
        <v>392</v>
      </c>
      <c r="B158" s="1" t="s">
        <v>379</v>
      </c>
      <c r="C158" s="1">
        <v>2500</v>
      </c>
      <c r="D158" s="1">
        <v>7000</v>
      </c>
      <c r="E158" s="18">
        <f t="shared" si="92"/>
        <v>22.965879265091864</v>
      </c>
      <c r="F158" s="4"/>
      <c r="G158" s="4"/>
      <c r="H158" s="63">
        <v>1965</v>
      </c>
      <c r="I158" s="4"/>
      <c r="J158" s="4"/>
      <c r="K158" s="1" t="s">
        <v>380</v>
      </c>
      <c r="L158" s="1"/>
      <c r="M158" s="1"/>
      <c r="N158" s="1"/>
      <c r="AM158" s="5" t="s">
        <v>395</v>
      </c>
      <c r="AN158" s="6" t="s">
        <v>396</v>
      </c>
      <c r="AO158" s="1">
        <v>1</v>
      </c>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row>
    <row r="159" spans="1:142" ht="28.15" hidden="1" customHeight="1" x14ac:dyDescent="0.2">
      <c r="A159" s="1" t="s">
        <v>392</v>
      </c>
      <c r="B159" s="1" t="s">
        <v>379</v>
      </c>
      <c r="C159" s="1">
        <v>2500</v>
      </c>
      <c r="D159" s="1">
        <v>7500</v>
      </c>
      <c r="E159" s="18">
        <f t="shared" si="92"/>
        <v>24.606299212598426</v>
      </c>
      <c r="F159" s="4"/>
      <c r="G159" s="4"/>
      <c r="H159" s="63">
        <v>1965</v>
      </c>
      <c r="I159" s="4"/>
      <c r="J159" s="4"/>
      <c r="K159" s="1" t="s">
        <v>380</v>
      </c>
      <c r="L159" s="1"/>
      <c r="M159" s="1"/>
      <c r="N159" s="1"/>
      <c r="AM159" s="5" t="s">
        <v>397</v>
      </c>
      <c r="AN159" s="6" t="s">
        <v>398</v>
      </c>
      <c r="AO159" s="1">
        <v>1</v>
      </c>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row>
    <row r="160" spans="1:142" ht="28.15" hidden="1" customHeight="1" x14ac:dyDescent="0.2">
      <c r="A160" s="1"/>
      <c r="B160" s="1"/>
      <c r="C160" s="1"/>
      <c r="D160" s="1"/>
      <c r="E160" s="1"/>
      <c r="F160" s="1"/>
      <c r="G160" s="1"/>
      <c r="H160" s="63">
        <v>1965</v>
      </c>
      <c r="I160" s="1"/>
      <c r="J160" s="1"/>
      <c r="K160" s="1"/>
      <c r="L160" s="1"/>
      <c r="M160" s="1"/>
      <c r="N160" s="1"/>
      <c r="AM160" s="5" t="s">
        <v>399</v>
      </c>
      <c r="AN160" s="6" t="s">
        <v>400</v>
      </c>
      <c r="AO160" s="1">
        <v>1</v>
      </c>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row>
    <row r="161" spans="1:142" ht="28.15" hidden="1" customHeight="1" x14ac:dyDescent="0.2">
      <c r="A161" s="1" t="s">
        <v>401</v>
      </c>
      <c r="B161" s="64">
        <v>120</v>
      </c>
      <c r="C161" s="21">
        <v>4</v>
      </c>
      <c r="D161" s="1"/>
      <c r="E161" s="1"/>
      <c r="F161" s="1"/>
      <c r="G161" s="1"/>
      <c r="H161" s="1"/>
      <c r="I161" s="1"/>
      <c r="J161" s="1"/>
      <c r="K161" s="1"/>
      <c r="L161" s="1"/>
      <c r="M161" s="1"/>
      <c r="N161" s="1"/>
      <c r="AM161" s="5" t="s">
        <v>402</v>
      </c>
      <c r="AN161" s="6" t="s">
        <v>403</v>
      </c>
      <c r="AO161" s="1">
        <v>1</v>
      </c>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row>
    <row r="162" spans="1:142" ht="28.15" hidden="1" customHeight="1" x14ac:dyDescent="0.2">
      <c r="A162" s="1" t="s">
        <v>404</v>
      </c>
      <c r="B162" s="64">
        <v>240</v>
      </c>
      <c r="C162" s="21">
        <v>8</v>
      </c>
      <c r="D162" s="1"/>
      <c r="E162" s="1"/>
      <c r="F162" s="1"/>
      <c r="G162" s="1"/>
      <c r="H162" s="1"/>
      <c r="I162" s="1"/>
      <c r="J162" s="1"/>
      <c r="K162" s="1"/>
      <c r="L162" s="1"/>
      <c r="M162" s="1"/>
      <c r="N162" s="1"/>
      <c r="AM162" s="5" t="s">
        <v>405</v>
      </c>
      <c r="AN162" s="6" t="s">
        <v>406</v>
      </c>
      <c r="AO162" s="1">
        <v>1</v>
      </c>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row>
    <row r="163" spans="1:142" ht="28.15" hidden="1" customHeight="1" x14ac:dyDescent="0.2">
      <c r="A163" s="1" t="s">
        <v>407</v>
      </c>
      <c r="B163" s="64">
        <v>67</v>
      </c>
      <c r="C163" s="21">
        <v>2</v>
      </c>
      <c r="D163" s="1"/>
      <c r="E163" s="1"/>
      <c r="F163" s="1"/>
      <c r="G163" s="1"/>
      <c r="H163" s="1"/>
      <c r="I163" s="1"/>
      <c r="J163" s="1"/>
      <c r="K163" s="1"/>
      <c r="L163" s="1"/>
      <c r="M163" s="1"/>
      <c r="N163" s="1"/>
      <c r="AM163" s="5" t="s">
        <v>408</v>
      </c>
      <c r="AN163" s="6" t="s">
        <v>409</v>
      </c>
      <c r="AO163" s="1">
        <v>1</v>
      </c>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row>
    <row r="164" spans="1:142" ht="28.15" hidden="1" customHeight="1" x14ac:dyDescent="0.2">
      <c r="A164" s="1" t="s">
        <v>410</v>
      </c>
      <c r="B164" s="64">
        <v>94</v>
      </c>
      <c r="C164" s="21">
        <v>3</v>
      </c>
      <c r="D164" s="1"/>
      <c r="E164" s="1"/>
      <c r="F164" s="1"/>
      <c r="G164" s="1"/>
      <c r="H164" s="1"/>
      <c r="I164" s="1"/>
      <c r="J164" s="1"/>
      <c r="K164" s="1"/>
      <c r="L164" s="1"/>
      <c r="M164" s="1"/>
      <c r="N164" s="1"/>
      <c r="AM164" s="5" t="s">
        <v>411</v>
      </c>
      <c r="AN164" s="6" t="s">
        <v>412</v>
      </c>
      <c r="AO164" s="1">
        <v>1</v>
      </c>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row>
    <row r="165" spans="1:142" ht="28.15" hidden="1" customHeight="1" x14ac:dyDescent="0.2">
      <c r="A165" s="1" t="s">
        <v>413</v>
      </c>
      <c r="B165" s="64">
        <v>120</v>
      </c>
      <c r="C165" s="21">
        <v>4</v>
      </c>
      <c r="D165" s="1"/>
      <c r="E165" s="1"/>
      <c r="F165" s="1"/>
      <c r="G165" s="1"/>
      <c r="H165" s="1"/>
      <c r="I165" s="1"/>
      <c r="J165" s="1"/>
      <c r="K165" s="1"/>
      <c r="L165" s="1"/>
      <c r="M165" s="1"/>
      <c r="N165" s="1"/>
      <c r="AM165" s="5" t="s">
        <v>414</v>
      </c>
      <c r="AN165" s="6" t="s">
        <v>415</v>
      </c>
      <c r="AO165" s="1">
        <v>1</v>
      </c>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row>
    <row r="166" spans="1:142" ht="28.15" hidden="1" customHeight="1" x14ac:dyDescent="0.2">
      <c r="A166" s="1"/>
      <c r="B166" s="64"/>
      <c r="C166" s="1"/>
      <c r="D166" s="1"/>
      <c r="E166" s="1"/>
      <c r="F166" s="1"/>
      <c r="G166" s="1"/>
      <c r="H166" s="1"/>
      <c r="I166" s="1"/>
      <c r="J166" s="1"/>
      <c r="K166" s="1"/>
      <c r="L166" s="1"/>
      <c r="M166" s="1"/>
      <c r="N166" s="1"/>
      <c r="AM166" s="5" t="s">
        <v>416</v>
      </c>
      <c r="AN166" s="6" t="s">
        <v>417</v>
      </c>
      <c r="AO166" s="1">
        <v>1</v>
      </c>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row>
    <row r="167" spans="1:142" ht="28.15" hidden="1" customHeight="1" x14ac:dyDescent="0.2">
      <c r="A167" s="1" t="s">
        <v>418</v>
      </c>
      <c r="B167" s="64">
        <v>67</v>
      </c>
      <c r="C167" s="1">
        <v>2</v>
      </c>
      <c r="D167" s="1"/>
      <c r="E167" s="1"/>
      <c r="F167" s="1"/>
      <c r="G167" s="1"/>
      <c r="H167" s="1"/>
      <c r="I167" s="1"/>
      <c r="J167" s="1"/>
      <c r="K167" s="1"/>
      <c r="L167" s="1"/>
      <c r="M167" s="1"/>
      <c r="N167" s="1"/>
      <c r="AM167" s="5" t="s">
        <v>419</v>
      </c>
      <c r="AN167" s="6" t="s">
        <v>420</v>
      </c>
      <c r="AO167" s="1">
        <v>1</v>
      </c>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row>
    <row r="168" spans="1:142" ht="28.15" hidden="1" customHeight="1" x14ac:dyDescent="0.2">
      <c r="A168" s="1" t="s">
        <v>421</v>
      </c>
      <c r="B168" s="64">
        <v>94</v>
      </c>
      <c r="C168" s="1">
        <v>3</v>
      </c>
      <c r="D168" s="1"/>
      <c r="E168" s="1"/>
      <c r="F168" s="1"/>
      <c r="G168" s="1"/>
      <c r="H168" s="1"/>
      <c r="I168" s="1"/>
      <c r="J168" s="1"/>
      <c r="K168" s="1"/>
      <c r="L168" s="1"/>
      <c r="M168" s="1"/>
      <c r="N168" s="1"/>
      <c r="AM168" s="5" t="s">
        <v>422</v>
      </c>
      <c r="AN168" s="6" t="s">
        <v>423</v>
      </c>
      <c r="AO168" s="1">
        <v>1</v>
      </c>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row>
    <row r="169" spans="1:142" ht="28.15" hidden="1" customHeight="1" x14ac:dyDescent="0.2">
      <c r="A169" s="1" t="s">
        <v>424</v>
      </c>
      <c r="B169" s="64">
        <v>120</v>
      </c>
      <c r="C169" s="1">
        <v>4</v>
      </c>
      <c r="D169" s="1"/>
      <c r="E169" s="1"/>
      <c r="F169" s="1"/>
      <c r="G169" s="1"/>
      <c r="H169" s="1"/>
      <c r="I169" s="1"/>
      <c r="J169" s="1"/>
      <c r="K169" s="1"/>
      <c r="L169" s="1"/>
      <c r="M169" s="1"/>
      <c r="N169" s="1"/>
      <c r="AM169" s="5" t="s">
        <v>425</v>
      </c>
      <c r="AN169" s="6" t="s">
        <v>426</v>
      </c>
      <c r="AO169" s="1">
        <v>1</v>
      </c>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row>
    <row r="170" spans="1:142" ht="28.15" hidden="1" customHeight="1" x14ac:dyDescent="0.2">
      <c r="A170" s="1"/>
      <c r="B170" s="1"/>
      <c r="C170" s="1"/>
      <c r="D170" s="1"/>
      <c r="E170" s="1"/>
      <c r="F170" s="1"/>
      <c r="G170" s="1"/>
      <c r="H170" s="1"/>
      <c r="I170" s="1"/>
      <c r="J170" s="1"/>
      <c r="K170" s="1"/>
      <c r="L170" s="1"/>
      <c r="M170" s="1"/>
      <c r="N170" s="1"/>
      <c r="AM170" s="5" t="s">
        <v>427</v>
      </c>
      <c r="AN170" s="6" t="s">
        <v>428</v>
      </c>
      <c r="AO170" s="1">
        <v>1</v>
      </c>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row>
    <row r="171" spans="1:142" ht="28.15" hidden="1" customHeight="1" x14ac:dyDescent="0.2">
      <c r="A171" s="1"/>
      <c r="B171" s="1"/>
      <c r="C171" s="1"/>
      <c r="D171" s="1"/>
      <c r="E171" s="1"/>
      <c r="F171" s="1"/>
      <c r="G171" s="1"/>
      <c r="H171" s="1"/>
      <c r="I171" s="1"/>
      <c r="J171" s="1"/>
      <c r="K171" s="1"/>
      <c r="L171" s="1"/>
      <c r="M171" s="1"/>
      <c r="N171" s="1"/>
      <c r="AM171" s="5" t="s">
        <v>429</v>
      </c>
      <c r="AN171" s="6" t="s">
        <v>430</v>
      </c>
      <c r="AO171" s="1">
        <v>1</v>
      </c>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row>
    <row r="172" spans="1:142" s="1" customFormat="1" ht="28.15" hidden="1" customHeight="1" x14ac:dyDescent="0.2">
      <c r="AM172" s="5" t="s">
        <v>431</v>
      </c>
      <c r="AN172" s="6" t="s">
        <v>432</v>
      </c>
      <c r="AO172" s="1">
        <v>1</v>
      </c>
    </row>
    <row r="173" spans="1:142" s="1" customFormat="1" ht="28.15" hidden="1" customHeight="1" x14ac:dyDescent="0.2">
      <c r="AM173" s="5" t="s">
        <v>433</v>
      </c>
      <c r="AN173" s="6" t="s">
        <v>434</v>
      </c>
      <c r="AO173" s="1">
        <v>1</v>
      </c>
    </row>
    <row r="174" spans="1:142" s="1" customFormat="1" ht="28.15" hidden="1" customHeight="1" x14ac:dyDescent="0.2">
      <c r="B174" s="1" t="s">
        <v>632</v>
      </c>
      <c r="AM174" s="5" t="s">
        <v>435</v>
      </c>
      <c r="AN174" s="6" t="s">
        <v>436</v>
      </c>
      <c r="AO174" s="1">
        <v>1</v>
      </c>
    </row>
    <row r="175" spans="1:142" s="1" customFormat="1" ht="28.15" hidden="1" customHeight="1" x14ac:dyDescent="0.25">
      <c r="B175" t="s">
        <v>309</v>
      </c>
      <c r="C175" t="s">
        <v>308</v>
      </c>
      <c r="D175" t="s">
        <v>300</v>
      </c>
      <c r="E175" t="s">
        <v>607</v>
      </c>
      <c r="F175"/>
      <c r="G175"/>
      <c r="H175" t="s">
        <v>608</v>
      </c>
      <c r="I175" s="1" t="s">
        <v>34</v>
      </c>
      <c r="J175" s="1" t="s">
        <v>49</v>
      </c>
      <c r="K175"/>
      <c r="L175"/>
      <c r="M175"/>
      <c r="N175"/>
      <c r="O175"/>
      <c r="P175"/>
      <c r="Q175"/>
      <c r="R175"/>
      <c r="S175"/>
      <c r="T175"/>
      <c r="U175"/>
      <c r="V175"/>
      <c r="W175"/>
      <c r="AM175" s="5" t="s">
        <v>437</v>
      </c>
      <c r="AN175" s="6" t="s">
        <v>438</v>
      </c>
      <c r="AO175" s="1">
        <v>5</v>
      </c>
    </row>
    <row r="176" spans="1:142" s="1" customFormat="1" ht="28.15" hidden="1" customHeight="1" x14ac:dyDescent="0.25">
      <c r="B176">
        <f t="shared" ref="B176:B181" si="101">+C14</f>
        <v>0</v>
      </c>
      <c r="C176">
        <f t="shared" ref="C176:C181" si="102">D14</f>
        <v>0</v>
      </c>
      <c r="D176" s="89">
        <f t="shared" ref="D176:D181" si="103">+F14</f>
        <v>0</v>
      </c>
      <c r="E176" t="e">
        <f>HLOOKUP(D176,$H$175:$J$181,K176,FALSE)</f>
        <v>#N/A</v>
      </c>
      <c r="F176">
        <f>VLOOKUP(C176,$L$218:$M$221,2)</f>
        <v>2</v>
      </c>
      <c r="G176"/>
      <c r="H176">
        <f>VLOOKUP(B176,$L$182:$O$185,F176)</f>
        <v>219</v>
      </c>
      <c r="I176">
        <f>VLOOKUP(B176,$P$182:$S$185,F176)</f>
        <v>273</v>
      </c>
      <c r="J176">
        <f>VLOOKUP(B176,$T$182:$W$185,F176)</f>
        <v>295</v>
      </c>
      <c r="K176">
        <v>2</v>
      </c>
      <c r="L176"/>
      <c r="M176"/>
      <c r="N176"/>
      <c r="O176"/>
      <c r="P176"/>
      <c r="Q176"/>
      <c r="R176"/>
      <c r="S176"/>
      <c r="T176"/>
      <c r="U176"/>
      <c r="V176"/>
      <c r="W176"/>
      <c r="AM176" s="5" t="s">
        <v>439</v>
      </c>
      <c r="AN176" s="6" t="s">
        <v>440</v>
      </c>
      <c r="AO176" s="1">
        <v>5</v>
      </c>
    </row>
    <row r="177" spans="2:41" s="1" customFormat="1" ht="28.15" hidden="1" customHeight="1" x14ac:dyDescent="0.25">
      <c r="B177">
        <f t="shared" si="101"/>
        <v>0</v>
      </c>
      <c r="C177">
        <f t="shared" si="102"/>
        <v>0</v>
      </c>
      <c r="D177" s="89">
        <f t="shared" si="103"/>
        <v>0</v>
      </c>
      <c r="E177" t="e">
        <f t="shared" ref="E177:E181" si="104">HLOOKUP(D177,$H$175:$J$181,K177,FALSE)</f>
        <v>#N/A</v>
      </c>
      <c r="F177">
        <f t="shared" ref="F177:F181" si="105">VLOOKUP(C177,$L$218:$M$221,2)</f>
        <v>2</v>
      </c>
      <c r="G177"/>
      <c r="H177">
        <f t="shared" ref="H177:H181" si="106">VLOOKUP(B177,$L$182:$O$185,F177)</f>
        <v>219</v>
      </c>
      <c r="I177">
        <f t="shared" ref="I177:I181" si="107">VLOOKUP(B177,$P$182:$S$185,F177)</f>
        <v>273</v>
      </c>
      <c r="J177">
        <f t="shared" ref="J177:J181" si="108">VLOOKUP(B177,$T$182:$W$185,F177)</f>
        <v>295</v>
      </c>
      <c r="K177">
        <v>3</v>
      </c>
      <c r="L177"/>
      <c r="M177"/>
      <c r="N177"/>
      <c r="O177"/>
      <c r="P177"/>
      <c r="Q177"/>
      <c r="R177"/>
      <c r="S177"/>
      <c r="T177"/>
      <c r="U177"/>
      <c r="V177"/>
      <c r="W177"/>
      <c r="AM177" s="5" t="s">
        <v>441</v>
      </c>
      <c r="AN177" s="6" t="s">
        <v>60</v>
      </c>
      <c r="AO177" s="1">
        <v>1</v>
      </c>
    </row>
    <row r="178" spans="2:41" s="1" customFormat="1" ht="28.15" hidden="1" customHeight="1" x14ac:dyDescent="0.25">
      <c r="B178">
        <f t="shared" si="101"/>
        <v>0</v>
      </c>
      <c r="C178">
        <f t="shared" si="102"/>
        <v>0</v>
      </c>
      <c r="D178" s="89">
        <f t="shared" si="103"/>
        <v>0</v>
      </c>
      <c r="E178" t="e">
        <f t="shared" si="104"/>
        <v>#N/A</v>
      </c>
      <c r="F178">
        <f t="shared" si="105"/>
        <v>2</v>
      </c>
      <c r="G178"/>
      <c r="H178">
        <f t="shared" si="106"/>
        <v>219</v>
      </c>
      <c r="I178">
        <f t="shared" si="107"/>
        <v>273</v>
      </c>
      <c r="J178">
        <f t="shared" si="108"/>
        <v>295</v>
      </c>
      <c r="K178">
        <v>4</v>
      </c>
      <c r="L178" s="130" t="s">
        <v>643</v>
      </c>
      <c r="M178"/>
      <c r="N178"/>
      <c r="O178"/>
      <c r="P178"/>
      <c r="Q178"/>
      <c r="R178"/>
      <c r="S178"/>
      <c r="T178"/>
      <c r="U178"/>
      <c r="V178"/>
      <c r="W178"/>
      <c r="AM178" s="5" t="s">
        <v>442</v>
      </c>
      <c r="AN178" s="6" t="s">
        <v>60</v>
      </c>
      <c r="AO178" s="1">
        <v>1</v>
      </c>
    </row>
    <row r="179" spans="2:41" s="1" customFormat="1" ht="28.15" hidden="1" customHeight="1" x14ac:dyDescent="0.25">
      <c r="B179">
        <f t="shared" si="101"/>
        <v>0</v>
      </c>
      <c r="C179">
        <f t="shared" si="102"/>
        <v>0</v>
      </c>
      <c r="D179" s="89">
        <f t="shared" si="103"/>
        <v>0</v>
      </c>
      <c r="E179" t="e">
        <f t="shared" si="104"/>
        <v>#N/A</v>
      </c>
      <c r="F179">
        <f t="shared" si="105"/>
        <v>2</v>
      </c>
      <c r="G179"/>
      <c r="H179">
        <f t="shared" si="106"/>
        <v>219</v>
      </c>
      <c r="I179">
        <f t="shared" si="107"/>
        <v>273</v>
      </c>
      <c r="J179">
        <f t="shared" si="108"/>
        <v>295</v>
      </c>
      <c r="K179">
        <v>5</v>
      </c>
      <c r="L179" s="130"/>
      <c r="M179" s="130" t="s">
        <v>22</v>
      </c>
      <c r="N179" s="130"/>
      <c r="O179" s="130"/>
      <c r="P179" s="130"/>
      <c r="Q179" s="130" t="s">
        <v>600</v>
      </c>
      <c r="R179" s="130"/>
      <c r="S179" s="130"/>
      <c r="T179" s="130"/>
      <c r="U179" s="130" t="s">
        <v>601</v>
      </c>
      <c r="V179" s="130"/>
      <c r="W179" s="130"/>
      <c r="AM179" s="5" t="s">
        <v>443</v>
      </c>
      <c r="AN179" s="6" t="s">
        <v>60</v>
      </c>
      <c r="AO179" s="1">
        <v>1</v>
      </c>
    </row>
    <row r="180" spans="2:41" s="1" customFormat="1" ht="28.15" hidden="1" customHeight="1" x14ac:dyDescent="0.25">
      <c r="B180">
        <f t="shared" si="101"/>
        <v>0</v>
      </c>
      <c r="C180">
        <f t="shared" si="102"/>
        <v>0</v>
      </c>
      <c r="D180" s="89">
        <f t="shared" si="103"/>
        <v>0</v>
      </c>
      <c r="E180" t="e">
        <f t="shared" si="104"/>
        <v>#N/A</v>
      </c>
      <c r="F180">
        <f t="shared" si="105"/>
        <v>2</v>
      </c>
      <c r="G180"/>
      <c r="H180">
        <f t="shared" si="106"/>
        <v>219</v>
      </c>
      <c r="I180">
        <f t="shared" si="107"/>
        <v>273</v>
      </c>
      <c r="J180">
        <f t="shared" si="108"/>
        <v>295</v>
      </c>
      <c r="K180">
        <v>6</v>
      </c>
      <c r="L180" s="130"/>
      <c r="M180" s="130" t="s">
        <v>608</v>
      </c>
      <c r="N180" s="130" t="s">
        <v>608</v>
      </c>
      <c r="O180" s="130" t="s">
        <v>608</v>
      </c>
      <c r="P180" s="130"/>
      <c r="Q180" s="130" t="s">
        <v>600</v>
      </c>
      <c r="R180" s="130" t="s">
        <v>600</v>
      </c>
      <c r="S180" s="130" t="s">
        <v>600</v>
      </c>
      <c r="T180" s="130"/>
      <c r="U180" s="130" t="s">
        <v>301</v>
      </c>
      <c r="V180" s="130" t="s">
        <v>301</v>
      </c>
      <c r="W180" s="130" t="s">
        <v>301</v>
      </c>
      <c r="AM180" s="5" t="s">
        <v>444</v>
      </c>
      <c r="AN180" s="6" t="s">
        <v>60</v>
      </c>
      <c r="AO180" s="1">
        <v>1</v>
      </c>
    </row>
    <row r="181" spans="2:41" s="1" customFormat="1" ht="28.15" hidden="1" customHeight="1" x14ac:dyDescent="0.25">
      <c r="B181">
        <f t="shared" si="101"/>
        <v>0</v>
      </c>
      <c r="C181">
        <f t="shared" si="102"/>
        <v>0</v>
      </c>
      <c r="D181" s="89">
        <f t="shared" si="103"/>
        <v>0</v>
      </c>
      <c r="E181" t="e">
        <f t="shared" si="104"/>
        <v>#N/A</v>
      </c>
      <c r="F181">
        <f t="shared" si="105"/>
        <v>2</v>
      </c>
      <c r="G181"/>
      <c r="H181">
        <f t="shared" si="106"/>
        <v>219</v>
      </c>
      <c r="I181">
        <f t="shared" si="107"/>
        <v>273</v>
      </c>
      <c r="J181">
        <f t="shared" si="108"/>
        <v>295</v>
      </c>
      <c r="K181">
        <v>7</v>
      </c>
      <c r="L181" s="130">
        <v>0</v>
      </c>
      <c r="M181" s="130">
        <v>2130</v>
      </c>
      <c r="N181" s="130">
        <v>2600</v>
      </c>
      <c r="O181" s="130">
        <v>3000</v>
      </c>
      <c r="P181" s="130">
        <v>0</v>
      </c>
      <c r="Q181" s="130">
        <v>2130</v>
      </c>
      <c r="R181" s="130">
        <v>2600</v>
      </c>
      <c r="S181" s="130">
        <v>3000</v>
      </c>
      <c r="T181" s="130">
        <v>0</v>
      </c>
      <c r="U181" s="130">
        <v>2130</v>
      </c>
      <c r="V181" s="130">
        <v>2600</v>
      </c>
      <c r="W181" s="130">
        <v>3000</v>
      </c>
      <c r="AM181" s="5" t="s">
        <v>445</v>
      </c>
      <c r="AN181" s="6" t="s">
        <v>60</v>
      </c>
      <c r="AO181" s="1">
        <v>1</v>
      </c>
    </row>
    <row r="182" spans="2:41" s="1" customFormat="1" ht="28.15" hidden="1" customHeight="1" x14ac:dyDescent="0.25">
      <c r="B182"/>
      <c r="C182"/>
      <c r="D182"/>
      <c r="E182"/>
      <c r="F182"/>
      <c r="G182"/>
      <c r="H182"/>
      <c r="I182"/>
      <c r="J182"/>
      <c r="K182"/>
      <c r="L182" s="130">
        <v>0</v>
      </c>
      <c r="M182" s="130">
        <v>219</v>
      </c>
      <c r="N182" s="130">
        <v>259</v>
      </c>
      <c r="O182" s="130">
        <v>301</v>
      </c>
      <c r="P182" s="130">
        <v>0</v>
      </c>
      <c r="Q182" s="130">
        <v>273</v>
      </c>
      <c r="R182" s="130">
        <v>325</v>
      </c>
      <c r="S182" s="130">
        <v>375</v>
      </c>
      <c r="T182" s="130">
        <v>0</v>
      </c>
      <c r="U182" s="130">
        <v>295</v>
      </c>
      <c r="V182" s="130">
        <v>351</v>
      </c>
      <c r="W182" s="130">
        <v>401</v>
      </c>
      <c r="AM182" s="5" t="s">
        <v>446</v>
      </c>
      <c r="AN182" s="6" t="s">
        <v>60</v>
      </c>
      <c r="AO182" s="1">
        <v>1</v>
      </c>
    </row>
    <row r="183" spans="2:41" s="1" customFormat="1" ht="28.15" hidden="1" customHeight="1" x14ac:dyDescent="0.25">
      <c r="B183"/>
      <c r="C183"/>
      <c r="D183"/>
      <c r="E183"/>
      <c r="F183"/>
      <c r="G183"/>
      <c r="H183"/>
      <c r="I183"/>
      <c r="J183"/>
      <c r="K183"/>
      <c r="L183" s="130">
        <v>915</v>
      </c>
      <c r="M183" s="130">
        <v>232</v>
      </c>
      <c r="N183" s="130" t="s">
        <v>609</v>
      </c>
      <c r="O183" s="130" t="s">
        <v>609</v>
      </c>
      <c r="P183" s="130">
        <v>915</v>
      </c>
      <c r="Q183" s="130">
        <v>291</v>
      </c>
      <c r="R183" s="130" t="s">
        <v>609</v>
      </c>
      <c r="S183" s="130" t="s">
        <v>609</v>
      </c>
      <c r="T183" s="130">
        <v>915</v>
      </c>
      <c r="U183" s="130">
        <v>313</v>
      </c>
      <c r="V183" s="130"/>
      <c r="W183" s="130" t="s">
        <v>609</v>
      </c>
      <c r="AM183" s="5" t="s">
        <v>447</v>
      </c>
      <c r="AN183" s="6" t="s">
        <v>60</v>
      </c>
      <c r="AO183" s="1">
        <v>1</v>
      </c>
    </row>
    <row r="184" spans="2:41" s="1" customFormat="1" ht="28.15" hidden="1" customHeight="1" x14ac:dyDescent="0.25">
      <c r="B184"/>
      <c r="C184"/>
      <c r="D184"/>
      <c r="E184"/>
      <c r="F184"/>
      <c r="G184"/>
      <c r="H184"/>
      <c r="I184"/>
      <c r="J184"/>
      <c r="K184"/>
      <c r="L184" s="130">
        <v>1221</v>
      </c>
      <c r="M184" s="130">
        <v>424</v>
      </c>
      <c r="N184" s="130">
        <v>505</v>
      </c>
      <c r="O184" s="130">
        <v>587</v>
      </c>
      <c r="P184" s="130">
        <v>1221</v>
      </c>
      <c r="Q184" s="130">
        <v>529</v>
      </c>
      <c r="R184" s="130">
        <v>632</v>
      </c>
      <c r="S184" s="130">
        <v>734</v>
      </c>
      <c r="T184" s="130">
        <v>1221</v>
      </c>
      <c r="U184" s="130">
        <v>571</v>
      </c>
      <c r="V184" s="130">
        <v>681</v>
      </c>
      <c r="W184" s="130">
        <v>793</v>
      </c>
      <c r="AM184" s="5" t="s">
        <v>448</v>
      </c>
      <c r="AN184" s="6" t="s">
        <v>60</v>
      </c>
      <c r="AO184" s="1">
        <v>1</v>
      </c>
    </row>
    <row r="185" spans="2:41" s="1" customFormat="1" ht="28.15" hidden="1" customHeight="1" x14ac:dyDescent="0.25">
      <c r="B185"/>
      <c r="C185"/>
      <c r="D185"/>
      <c r="E185"/>
      <c r="F185"/>
      <c r="G185"/>
      <c r="H185"/>
      <c r="I185"/>
      <c r="J185"/>
      <c r="K185"/>
      <c r="L185" s="130">
        <v>1831</v>
      </c>
      <c r="M185" s="130">
        <v>451</v>
      </c>
      <c r="N185" s="130" t="s">
        <v>609</v>
      </c>
      <c r="O185" s="130" t="s">
        <v>609</v>
      </c>
      <c r="P185" s="130">
        <v>1831</v>
      </c>
      <c r="Q185" s="130">
        <v>564</v>
      </c>
      <c r="R185" s="130" t="s">
        <v>609</v>
      </c>
      <c r="S185" s="130" t="s">
        <v>609</v>
      </c>
      <c r="T185" s="130">
        <v>1831</v>
      </c>
      <c r="U185" s="130">
        <v>608</v>
      </c>
      <c r="V185" s="130" t="s">
        <v>609</v>
      </c>
      <c r="W185" s="130" t="s">
        <v>609</v>
      </c>
      <c r="AM185" s="5" t="s">
        <v>449</v>
      </c>
      <c r="AN185" s="6" t="s">
        <v>60</v>
      </c>
      <c r="AO185" s="1">
        <v>1</v>
      </c>
    </row>
    <row r="186" spans="2:41" s="1" customFormat="1" ht="28.15" hidden="1" customHeight="1" x14ac:dyDescent="0.25">
      <c r="B186"/>
      <c r="C186"/>
      <c r="D186"/>
      <c r="E186"/>
      <c r="F186"/>
      <c r="G186"/>
      <c r="H186"/>
      <c r="I186"/>
      <c r="J186"/>
      <c r="K186"/>
      <c r="L186"/>
      <c r="M186"/>
      <c r="N186"/>
      <c r="O186"/>
      <c r="P186"/>
      <c r="Q186"/>
      <c r="R186"/>
      <c r="S186"/>
      <c r="T186"/>
      <c r="U186"/>
      <c r="V186"/>
      <c r="W186"/>
      <c r="AM186" s="5" t="s">
        <v>450</v>
      </c>
      <c r="AN186" s="6" t="s">
        <v>177</v>
      </c>
      <c r="AO186" s="1">
        <v>1</v>
      </c>
    </row>
    <row r="187" spans="2:41" s="1" customFormat="1" ht="28.15" hidden="1" customHeight="1" x14ac:dyDescent="0.25">
      <c r="B187"/>
      <c r="C187"/>
      <c r="D187"/>
      <c r="E187"/>
      <c r="F187"/>
      <c r="G187"/>
      <c r="H187"/>
      <c r="I187"/>
      <c r="J187"/>
      <c r="K187"/>
      <c r="L187"/>
      <c r="M187"/>
      <c r="N187"/>
      <c r="O187"/>
      <c r="P187"/>
      <c r="Q187"/>
      <c r="R187"/>
      <c r="S187"/>
      <c r="T187"/>
      <c r="U187"/>
      <c r="V187"/>
      <c r="W187"/>
      <c r="AM187" s="5" t="s">
        <v>451</v>
      </c>
      <c r="AN187" s="6" t="s">
        <v>177</v>
      </c>
      <c r="AO187" s="1">
        <v>1</v>
      </c>
    </row>
    <row r="188" spans="2:41" s="1" customFormat="1" ht="28.15" hidden="1" customHeight="1" x14ac:dyDescent="0.25">
      <c r="B188"/>
      <c r="C188"/>
      <c r="D188"/>
      <c r="E188"/>
      <c r="F188"/>
      <c r="G188"/>
      <c r="H188"/>
      <c r="I188"/>
      <c r="J188"/>
      <c r="K188"/>
      <c r="L188"/>
      <c r="M188" t="s">
        <v>610</v>
      </c>
      <c r="N188"/>
      <c r="O188"/>
      <c r="P188"/>
      <c r="Q188"/>
      <c r="R188"/>
      <c r="S188"/>
      <c r="T188"/>
      <c r="U188"/>
      <c r="V188"/>
      <c r="W188"/>
      <c r="AM188" s="5" t="s">
        <v>452</v>
      </c>
      <c r="AN188" s="6" t="s">
        <v>177</v>
      </c>
      <c r="AO188" s="1">
        <v>1</v>
      </c>
    </row>
    <row r="189" spans="2:41" s="1" customFormat="1" ht="28.15" hidden="1" customHeight="1" x14ac:dyDescent="0.25">
      <c r="B189"/>
      <c r="C189"/>
      <c r="D189"/>
      <c r="E189"/>
      <c r="F189"/>
      <c r="G189"/>
      <c r="H189"/>
      <c r="I189"/>
      <c r="J189"/>
      <c r="K189"/>
      <c r="L189"/>
      <c r="M189" t="s">
        <v>608</v>
      </c>
      <c r="N189" t="s">
        <v>600</v>
      </c>
      <c r="O189" t="s">
        <v>301</v>
      </c>
      <c r="P189"/>
      <c r="Q189"/>
      <c r="R189"/>
      <c r="S189"/>
      <c r="T189"/>
      <c r="U189"/>
      <c r="V189"/>
      <c r="W189"/>
      <c r="AM189" s="5" t="s">
        <v>453</v>
      </c>
      <c r="AN189" s="6" t="s">
        <v>177</v>
      </c>
      <c r="AO189" s="1">
        <v>1</v>
      </c>
    </row>
    <row r="190" spans="2:41" s="1" customFormat="1" ht="28.15" hidden="1" customHeight="1" x14ac:dyDescent="0.25">
      <c r="B190"/>
      <c r="C190"/>
      <c r="D190"/>
      <c r="E190"/>
      <c r="F190"/>
      <c r="G190"/>
      <c r="H190"/>
      <c r="I190"/>
      <c r="J190"/>
      <c r="K190"/>
      <c r="L190">
        <v>0</v>
      </c>
      <c r="M190">
        <v>2130</v>
      </c>
      <c r="N190">
        <v>2130</v>
      </c>
      <c r="O190">
        <v>2130</v>
      </c>
      <c r="P190"/>
      <c r="Q190"/>
      <c r="R190"/>
      <c r="S190" s="129">
        <v>295.40500000000003</v>
      </c>
      <c r="T190"/>
      <c r="U190"/>
      <c r="V190"/>
      <c r="W190"/>
      <c r="AM190" s="5" t="s">
        <v>454</v>
      </c>
      <c r="AN190" s="6" t="s">
        <v>177</v>
      </c>
      <c r="AO190" s="1">
        <v>1</v>
      </c>
    </row>
    <row r="191" spans="2:41" s="1" customFormat="1" ht="28.15" hidden="1" customHeight="1" x14ac:dyDescent="0.25">
      <c r="B191"/>
      <c r="C191"/>
      <c r="D191"/>
      <c r="E191"/>
      <c r="F191"/>
      <c r="G191"/>
      <c r="H191"/>
      <c r="I191"/>
      <c r="J191"/>
      <c r="K191"/>
      <c r="L191">
        <v>914</v>
      </c>
      <c r="M191">
        <v>194</v>
      </c>
      <c r="N191">
        <v>242</v>
      </c>
      <c r="O191">
        <v>262</v>
      </c>
      <c r="P191"/>
      <c r="Q191"/>
      <c r="R191"/>
      <c r="S191" s="129">
        <v>313.44499999999999</v>
      </c>
      <c r="T191"/>
      <c r="U191"/>
      <c r="V191"/>
      <c r="W191"/>
      <c r="AM191" s="5" t="s">
        <v>455</v>
      </c>
      <c r="AN191" s="6" t="s">
        <v>177</v>
      </c>
      <c r="AO191" s="1">
        <v>1</v>
      </c>
    </row>
    <row r="192" spans="2:41" s="1" customFormat="1" ht="28.15" hidden="1" customHeight="1" x14ac:dyDescent="0.25">
      <c r="B192"/>
      <c r="C192"/>
      <c r="D192"/>
      <c r="E192"/>
      <c r="F192"/>
      <c r="G192"/>
      <c r="H192"/>
      <c r="I192"/>
      <c r="J192"/>
      <c r="K192"/>
      <c r="L192">
        <v>1220</v>
      </c>
      <c r="M192">
        <v>242</v>
      </c>
      <c r="N192">
        <v>258</v>
      </c>
      <c r="O192">
        <v>278</v>
      </c>
      <c r="P192"/>
      <c r="Q192"/>
      <c r="R192"/>
      <c r="S192" s="131">
        <v>570.51499999999999</v>
      </c>
      <c r="T192"/>
      <c r="U192"/>
      <c r="V192"/>
      <c r="W192"/>
      <c r="AM192" s="5" t="s">
        <v>456</v>
      </c>
      <c r="AN192" s="6" t="s">
        <v>177</v>
      </c>
      <c r="AO192" s="1">
        <v>1</v>
      </c>
    </row>
    <row r="193" spans="2:41" s="1" customFormat="1" ht="28.15" hidden="1" customHeight="1" x14ac:dyDescent="0.25">
      <c r="B193"/>
      <c r="C193"/>
      <c r="D193"/>
      <c r="E193"/>
      <c r="F193"/>
      <c r="G193"/>
      <c r="H193"/>
      <c r="I193"/>
      <c r="J193"/>
      <c r="K193"/>
      <c r="L193">
        <v>1830</v>
      </c>
      <c r="M193">
        <v>376</v>
      </c>
      <c r="N193">
        <v>469</v>
      </c>
      <c r="O193">
        <v>506</v>
      </c>
      <c r="P193"/>
      <c r="Q193"/>
      <c r="R193"/>
      <c r="S193" s="131">
        <v>607.72250000000008</v>
      </c>
      <c r="T193"/>
      <c r="U193"/>
      <c r="V193"/>
      <c r="W193"/>
      <c r="AM193" s="5" t="s">
        <v>457</v>
      </c>
      <c r="AN193" s="6" t="s">
        <v>177</v>
      </c>
      <c r="AO193" s="1">
        <v>1</v>
      </c>
    </row>
    <row r="194" spans="2:41" s="1" customFormat="1" ht="28.15" hidden="1" customHeight="1" x14ac:dyDescent="0.25">
      <c r="B194"/>
      <c r="C194"/>
      <c r="D194"/>
      <c r="E194"/>
      <c r="F194"/>
      <c r="G194"/>
      <c r="H194"/>
      <c r="I194"/>
      <c r="J194"/>
      <c r="K194"/>
      <c r="L194">
        <v>2440</v>
      </c>
      <c r="M194">
        <v>400</v>
      </c>
      <c r="N194">
        <v>500</v>
      </c>
      <c r="O194">
        <v>539</v>
      </c>
      <c r="P194"/>
      <c r="Q194"/>
      <c r="R194"/>
      <c r="S194" s="131">
        <v>350.65249999999997</v>
      </c>
      <c r="T194"/>
      <c r="U194"/>
      <c r="V194"/>
      <c r="W194"/>
      <c r="AM194" s="5" t="s">
        <v>458</v>
      </c>
      <c r="AN194" s="6" t="s">
        <v>177</v>
      </c>
      <c r="AO194" s="1">
        <v>1</v>
      </c>
    </row>
    <row r="195" spans="2:41" s="1" customFormat="1" ht="28.15" hidden="1" customHeight="1" x14ac:dyDescent="0.25">
      <c r="B195"/>
      <c r="C195"/>
      <c r="D195"/>
      <c r="E195"/>
      <c r="F195"/>
      <c r="G195"/>
      <c r="H195"/>
      <c r="I195"/>
      <c r="J195"/>
      <c r="K195"/>
      <c r="L195"/>
      <c r="M195"/>
      <c r="N195"/>
      <c r="O195"/>
      <c r="P195"/>
      <c r="Q195"/>
      <c r="R195"/>
      <c r="S195" s="131">
        <v>681.01</v>
      </c>
      <c r="T195"/>
      <c r="U195"/>
      <c r="V195"/>
      <c r="W195"/>
      <c r="AM195" s="5" t="s">
        <v>459</v>
      </c>
      <c r="AN195" s="6" t="s">
        <v>215</v>
      </c>
      <c r="AO195" s="1">
        <v>1</v>
      </c>
    </row>
    <row r="196" spans="2:41" s="1" customFormat="1" ht="28.15" hidden="1" customHeight="1" x14ac:dyDescent="0.25">
      <c r="B196"/>
      <c r="C196"/>
      <c r="D196"/>
      <c r="E196"/>
      <c r="F196"/>
      <c r="G196"/>
      <c r="H196"/>
      <c r="I196"/>
      <c r="J196"/>
      <c r="K196"/>
      <c r="L196"/>
      <c r="M196" t="s">
        <v>611</v>
      </c>
      <c r="N196"/>
      <c r="O196"/>
      <c r="P196"/>
      <c r="Q196"/>
      <c r="R196"/>
      <c r="S196" s="131">
        <v>401.39</v>
      </c>
      <c r="T196"/>
      <c r="U196"/>
      <c r="V196"/>
      <c r="W196"/>
      <c r="AM196" s="5" t="s">
        <v>460</v>
      </c>
      <c r="AN196" s="6" t="s">
        <v>215</v>
      </c>
      <c r="AO196" s="1">
        <v>1</v>
      </c>
    </row>
    <row r="197" spans="2:41" s="1" customFormat="1" ht="28.15" hidden="1" customHeight="1" x14ac:dyDescent="0.25">
      <c r="B197"/>
      <c r="C197"/>
      <c r="D197"/>
      <c r="E197"/>
      <c r="F197"/>
      <c r="G197"/>
      <c r="H197"/>
      <c r="I197"/>
      <c r="J197"/>
      <c r="K197"/>
      <c r="L197"/>
      <c r="M197" t="s">
        <v>608</v>
      </c>
      <c r="N197" t="s">
        <v>600</v>
      </c>
      <c r="O197" t="s">
        <v>301</v>
      </c>
      <c r="P197"/>
      <c r="Q197"/>
      <c r="R197"/>
      <c r="S197" s="131">
        <v>792.63250000000005</v>
      </c>
      <c r="T197"/>
      <c r="U197"/>
      <c r="V197"/>
      <c r="W197"/>
      <c r="AM197" s="5" t="s">
        <v>461</v>
      </c>
      <c r="AN197" s="6" t="s">
        <v>215</v>
      </c>
      <c r="AO197" s="1">
        <v>1</v>
      </c>
    </row>
    <row r="198" spans="2:41" s="1" customFormat="1" ht="28.15" hidden="1" customHeight="1" x14ac:dyDescent="0.25">
      <c r="B198"/>
      <c r="C198"/>
      <c r="D198"/>
      <c r="E198"/>
      <c r="F198"/>
      <c r="G198"/>
      <c r="H198"/>
      <c r="I198"/>
      <c r="J198"/>
      <c r="K198"/>
      <c r="L198">
        <v>0</v>
      </c>
      <c r="M198">
        <v>2600</v>
      </c>
      <c r="N198">
        <v>2600</v>
      </c>
      <c r="O198">
        <v>2600</v>
      </c>
      <c r="P198"/>
      <c r="Q198"/>
      <c r="R198"/>
      <c r="S198"/>
      <c r="T198"/>
      <c r="U198"/>
      <c r="V198"/>
      <c r="W198"/>
      <c r="AM198" s="5" t="s">
        <v>462</v>
      </c>
      <c r="AN198" s="6" t="s">
        <v>215</v>
      </c>
      <c r="AO198" s="1">
        <v>1</v>
      </c>
    </row>
    <row r="199" spans="2:41" s="1" customFormat="1" ht="28.15" hidden="1" customHeight="1" x14ac:dyDescent="0.25">
      <c r="B199"/>
      <c r="C199"/>
      <c r="D199"/>
      <c r="E199"/>
      <c r="F199"/>
      <c r="G199"/>
      <c r="H199"/>
      <c r="I199"/>
      <c r="J199"/>
      <c r="K199"/>
      <c r="L199">
        <v>914</v>
      </c>
      <c r="M199">
        <v>230</v>
      </c>
      <c r="N199">
        <v>288</v>
      </c>
      <c r="O199">
        <v>311</v>
      </c>
      <c r="P199"/>
      <c r="Q199"/>
      <c r="R199"/>
      <c r="S199"/>
      <c r="T199"/>
      <c r="U199"/>
      <c r="V199"/>
      <c r="W199"/>
      <c r="AM199" s="5" t="s">
        <v>463</v>
      </c>
      <c r="AN199" s="6" t="s">
        <v>215</v>
      </c>
      <c r="AO199" s="1">
        <v>1</v>
      </c>
    </row>
    <row r="200" spans="2:41" s="1" customFormat="1" ht="28.15" hidden="1" customHeight="1" x14ac:dyDescent="0.25">
      <c r="B200"/>
      <c r="C200"/>
      <c r="D200"/>
      <c r="E200"/>
      <c r="F200"/>
      <c r="G200"/>
      <c r="H200"/>
      <c r="I200"/>
      <c r="J200"/>
      <c r="K200"/>
      <c r="L200">
        <v>1220</v>
      </c>
      <c r="M200" t="s">
        <v>609</v>
      </c>
      <c r="N200" t="s">
        <v>609</v>
      </c>
      <c r="O200" t="s">
        <v>609</v>
      </c>
      <c r="P200"/>
      <c r="Q200"/>
      <c r="R200"/>
      <c r="S200"/>
      <c r="T200"/>
      <c r="U200"/>
      <c r="V200"/>
      <c r="W200"/>
      <c r="AM200" s="5" t="s">
        <v>464</v>
      </c>
      <c r="AN200" s="6" t="s">
        <v>215</v>
      </c>
      <c r="AO200" s="1">
        <v>1</v>
      </c>
    </row>
    <row r="201" spans="2:41" s="1" customFormat="1" ht="28.15" hidden="1" customHeight="1" x14ac:dyDescent="0.25">
      <c r="B201"/>
      <c r="C201"/>
      <c r="D201"/>
      <c r="E201"/>
      <c r="F201"/>
      <c r="G201"/>
      <c r="H201"/>
      <c r="I201"/>
      <c r="J201"/>
      <c r="K201"/>
      <c r="L201">
        <v>1830</v>
      </c>
      <c r="M201">
        <v>448</v>
      </c>
      <c r="N201">
        <v>333</v>
      </c>
      <c r="O201">
        <v>604</v>
      </c>
      <c r="P201"/>
      <c r="Q201"/>
      <c r="R201"/>
      <c r="S201"/>
      <c r="T201"/>
      <c r="U201"/>
      <c r="V201"/>
      <c r="W201"/>
      <c r="AM201" s="5" t="s">
        <v>465</v>
      </c>
      <c r="AN201" s="6" t="s">
        <v>215</v>
      </c>
      <c r="AO201" s="1">
        <v>1</v>
      </c>
    </row>
    <row r="202" spans="2:41" s="1" customFormat="1" ht="28.15" hidden="1" customHeight="1" x14ac:dyDescent="0.25">
      <c r="B202"/>
      <c r="C202"/>
      <c r="D202"/>
      <c r="E202"/>
      <c r="F202"/>
      <c r="G202"/>
      <c r="H202"/>
      <c r="I202"/>
      <c r="J202"/>
      <c r="K202"/>
      <c r="L202">
        <v>2440</v>
      </c>
      <c r="M202" t="s">
        <v>609</v>
      </c>
      <c r="N202" t="s">
        <v>609</v>
      </c>
      <c r="O202" t="s">
        <v>609</v>
      </c>
      <c r="P202"/>
      <c r="Q202"/>
      <c r="R202"/>
      <c r="S202"/>
      <c r="T202"/>
      <c r="U202"/>
      <c r="V202"/>
      <c r="W202"/>
      <c r="AM202" s="5" t="s">
        <v>466</v>
      </c>
      <c r="AN202" s="6" t="s">
        <v>215</v>
      </c>
      <c r="AO202" s="1">
        <v>1</v>
      </c>
    </row>
    <row r="203" spans="2:41" s="1" customFormat="1" ht="28.15" hidden="1" customHeight="1" x14ac:dyDescent="0.25">
      <c r="B203"/>
      <c r="C203"/>
      <c r="D203"/>
      <c r="E203"/>
      <c r="F203"/>
      <c r="G203"/>
      <c r="H203"/>
      <c r="I203"/>
      <c r="J203"/>
      <c r="K203"/>
      <c r="L203"/>
      <c r="M203"/>
      <c r="N203"/>
      <c r="O203"/>
      <c r="P203"/>
      <c r="Q203"/>
      <c r="R203"/>
      <c r="S203"/>
      <c r="T203"/>
      <c r="U203"/>
      <c r="V203"/>
      <c r="W203"/>
      <c r="AM203" s="5" t="s">
        <v>467</v>
      </c>
      <c r="AN203" s="6" t="s">
        <v>215</v>
      </c>
      <c r="AO203" s="1">
        <v>1</v>
      </c>
    </row>
    <row r="204" spans="2:41" s="1" customFormat="1" ht="28.15" hidden="1" customHeight="1" x14ac:dyDescent="0.25">
      <c r="B204"/>
      <c r="C204"/>
      <c r="D204"/>
      <c r="E204"/>
      <c r="F204"/>
      <c r="G204"/>
      <c r="H204"/>
      <c r="I204"/>
      <c r="J204"/>
      <c r="K204"/>
      <c r="L204"/>
      <c r="M204" t="s">
        <v>612</v>
      </c>
      <c r="N204"/>
      <c r="O204"/>
      <c r="P204"/>
      <c r="Q204"/>
      <c r="R204"/>
      <c r="S204"/>
      <c r="T204"/>
      <c r="U204"/>
      <c r="V204"/>
      <c r="W204"/>
      <c r="AM204" s="5" t="s">
        <v>468</v>
      </c>
      <c r="AN204" s="6" t="s">
        <v>277</v>
      </c>
      <c r="AO204" s="1">
        <v>1</v>
      </c>
    </row>
    <row r="205" spans="2:41" s="1" customFormat="1" ht="28.15" hidden="1" customHeight="1" x14ac:dyDescent="0.25">
      <c r="B205"/>
      <c r="C205"/>
      <c r="D205"/>
      <c r="E205"/>
      <c r="F205"/>
      <c r="G205"/>
      <c r="H205"/>
      <c r="I205"/>
      <c r="J205"/>
      <c r="K205"/>
      <c r="L205"/>
      <c r="M205" t="s">
        <v>608</v>
      </c>
      <c r="N205" t="s">
        <v>600</v>
      </c>
      <c r="O205" t="s">
        <v>301</v>
      </c>
      <c r="P205"/>
      <c r="Q205"/>
      <c r="R205"/>
      <c r="S205"/>
      <c r="T205"/>
      <c r="U205"/>
      <c r="V205"/>
      <c r="W205"/>
      <c r="AM205" s="5" t="s">
        <v>469</v>
      </c>
      <c r="AN205" s="6" t="s">
        <v>277</v>
      </c>
      <c r="AO205" s="1">
        <v>1</v>
      </c>
    </row>
    <row r="206" spans="2:41" s="1" customFormat="1" ht="28.15" hidden="1" customHeight="1" x14ac:dyDescent="0.25">
      <c r="B206"/>
      <c r="C206"/>
      <c r="D206"/>
      <c r="E206"/>
      <c r="F206"/>
      <c r="G206"/>
      <c r="H206"/>
      <c r="I206"/>
      <c r="J206"/>
      <c r="K206"/>
      <c r="L206">
        <v>0</v>
      </c>
      <c r="M206">
        <v>3000</v>
      </c>
      <c r="N206">
        <v>3000</v>
      </c>
      <c r="O206">
        <v>3000</v>
      </c>
      <c r="P206"/>
      <c r="Q206"/>
      <c r="R206"/>
      <c r="S206"/>
      <c r="T206"/>
      <c r="U206"/>
      <c r="V206"/>
      <c r="W206"/>
      <c r="AM206" s="5" t="s">
        <v>470</v>
      </c>
      <c r="AN206" s="6" t="s">
        <v>277</v>
      </c>
      <c r="AO206" s="1">
        <v>1</v>
      </c>
    </row>
    <row r="207" spans="2:41" s="1" customFormat="1" ht="28.15" hidden="1" customHeight="1" x14ac:dyDescent="0.25">
      <c r="B207"/>
      <c r="C207"/>
      <c r="D207"/>
      <c r="E207"/>
      <c r="F207"/>
      <c r="G207"/>
      <c r="H207"/>
      <c r="I207"/>
      <c r="J207"/>
      <c r="K207"/>
      <c r="L207">
        <v>914</v>
      </c>
      <c r="M207">
        <v>267</v>
      </c>
      <c r="N207">
        <v>333</v>
      </c>
      <c r="O207">
        <v>356</v>
      </c>
      <c r="P207"/>
      <c r="Q207"/>
      <c r="R207"/>
      <c r="S207"/>
      <c r="T207"/>
      <c r="U207"/>
      <c r="V207"/>
      <c r="W207"/>
      <c r="AM207" s="5" t="s">
        <v>471</v>
      </c>
      <c r="AN207" s="6" t="s">
        <v>277</v>
      </c>
      <c r="AO207" s="1">
        <v>1</v>
      </c>
    </row>
    <row r="208" spans="2:41" s="1" customFormat="1" ht="28.15" hidden="1" customHeight="1" x14ac:dyDescent="0.25">
      <c r="B208"/>
      <c r="C208"/>
      <c r="D208"/>
      <c r="E208"/>
      <c r="F208"/>
      <c r="G208"/>
      <c r="H208"/>
      <c r="I208"/>
      <c r="J208"/>
      <c r="K208"/>
      <c r="L208">
        <v>1220</v>
      </c>
      <c r="M208" t="s">
        <v>609</v>
      </c>
      <c r="N208" t="s">
        <v>609</v>
      </c>
      <c r="O208" t="s">
        <v>609</v>
      </c>
      <c r="P208"/>
      <c r="Q208"/>
      <c r="R208"/>
      <c r="S208"/>
      <c r="T208"/>
      <c r="U208"/>
      <c r="V208"/>
      <c r="W208"/>
      <c r="AM208" s="5" t="s">
        <v>472</v>
      </c>
      <c r="AN208" s="6" t="s">
        <v>277</v>
      </c>
      <c r="AO208" s="1">
        <v>1</v>
      </c>
    </row>
    <row r="209" spans="2:41" s="1" customFormat="1" ht="28.15" hidden="1" customHeight="1" x14ac:dyDescent="0.25">
      <c r="B209"/>
      <c r="C209"/>
      <c r="D209"/>
      <c r="E209"/>
      <c r="F209"/>
      <c r="G209"/>
      <c r="H209"/>
      <c r="I209"/>
      <c r="J209"/>
      <c r="K209"/>
      <c r="L209">
        <v>1830</v>
      </c>
      <c r="M209">
        <v>521</v>
      </c>
      <c r="N209">
        <v>651</v>
      </c>
      <c r="O209">
        <v>703</v>
      </c>
      <c r="P209"/>
      <c r="Q209"/>
      <c r="R209"/>
      <c r="S209"/>
      <c r="T209"/>
      <c r="U209"/>
      <c r="V209"/>
      <c r="W209"/>
      <c r="AM209" s="5" t="s">
        <v>473</v>
      </c>
      <c r="AN209" s="6" t="s">
        <v>277</v>
      </c>
      <c r="AO209" s="1">
        <v>1</v>
      </c>
    </row>
    <row r="210" spans="2:41" s="1" customFormat="1" ht="28.15" hidden="1" customHeight="1" x14ac:dyDescent="0.25">
      <c r="B210"/>
      <c r="C210"/>
      <c r="D210"/>
      <c r="E210"/>
      <c r="F210"/>
      <c r="G210"/>
      <c r="H210"/>
      <c r="I210"/>
      <c r="J210"/>
      <c r="K210"/>
      <c r="L210">
        <v>2440</v>
      </c>
      <c r="M210" t="s">
        <v>609</v>
      </c>
      <c r="N210" t="s">
        <v>609</v>
      </c>
      <c r="O210" t="s">
        <v>609</v>
      </c>
      <c r="P210"/>
      <c r="Q210"/>
      <c r="R210"/>
      <c r="S210"/>
      <c r="T210"/>
      <c r="U210"/>
      <c r="V210"/>
      <c r="W210"/>
      <c r="AM210" s="5" t="s">
        <v>474</v>
      </c>
      <c r="AN210" s="6" t="s">
        <v>277</v>
      </c>
      <c r="AO210" s="1">
        <v>1</v>
      </c>
    </row>
    <row r="211" spans="2:41" s="1" customFormat="1" ht="28.15" hidden="1" customHeight="1" x14ac:dyDescent="0.25">
      <c r="B211"/>
      <c r="C211"/>
      <c r="D211"/>
      <c r="E211"/>
      <c r="F211"/>
      <c r="G211"/>
      <c r="H211"/>
      <c r="I211"/>
      <c r="J211"/>
      <c r="K211"/>
      <c r="L211"/>
      <c r="M211"/>
      <c r="N211"/>
      <c r="O211"/>
      <c r="P211"/>
      <c r="Q211"/>
      <c r="R211"/>
      <c r="S211"/>
      <c r="T211"/>
      <c r="U211"/>
      <c r="V211"/>
      <c r="W211"/>
      <c r="AM211" s="5" t="s">
        <v>475</v>
      </c>
      <c r="AN211" s="6" t="s">
        <v>277</v>
      </c>
      <c r="AO211" s="1">
        <v>1</v>
      </c>
    </row>
    <row r="212" spans="2:41" s="1" customFormat="1" ht="28.15" hidden="1" customHeight="1" x14ac:dyDescent="0.25">
      <c r="B212"/>
      <c r="C212"/>
      <c r="D212"/>
      <c r="E212"/>
      <c r="F212"/>
      <c r="G212"/>
      <c r="H212"/>
      <c r="I212"/>
      <c r="J212"/>
      <c r="K212"/>
      <c r="L212"/>
      <c r="M212"/>
      <c r="N212"/>
      <c r="O212"/>
      <c r="P212"/>
      <c r="Q212"/>
      <c r="R212"/>
      <c r="S212"/>
      <c r="T212"/>
      <c r="U212"/>
      <c r="V212"/>
      <c r="W212"/>
      <c r="AM212" s="5" t="s">
        <v>476</v>
      </c>
      <c r="AN212" s="6" t="s">
        <v>277</v>
      </c>
      <c r="AO212" s="1">
        <v>1</v>
      </c>
    </row>
    <row r="213" spans="2:41" s="1" customFormat="1" ht="28.15" hidden="1" customHeight="1" x14ac:dyDescent="0.25">
      <c r="B213"/>
      <c r="C213"/>
      <c r="D213"/>
      <c r="E213"/>
      <c r="F213"/>
      <c r="G213"/>
      <c r="H213"/>
      <c r="I213"/>
      <c r="J213"/>
      <c r="K213"/>
      <c r="L213"/>
      <c r="M213" t="s">
        <v>613</v>
      </c>
      <c r="N213" t="s">
        <v>614</v>
      </c>
      <c r="O213"/>
      <c r="P213"/>
      <c r="Q213"/>
      <c r="R213"/>
      <c r="S213"/>
      <c r="T213"/>
      <c r="U213"/>
      <c r="V213"/>
      <c r="W213"/>
      <c r="AM213" s="5" t="s">
        <v>477</v>
      </c>
      <c r="AN213" s="6" t="s">
        <v>293</v>
      </c>
      <c r="AO213" s="1">
        <v>1</v>
      </c>
    </row>
    <row r="214" spans="2:41" s="1" customFormat="1" ht="28.15" hidden="1" customHeight="1" x14ac:dyDescent="0.25">
      <c r="B214"/>
      <c r="C214"/>
      <c r="D214"/>
      <c r="E214"/>
      <c r="F214"/>
      <c r="G214"/>
      <c r="H214"/>
      <c r="I214"/>
      <c r="J214"/>
      <c r="K214"/>
      <c r="L214"/>
      <c r="M214" s="1" t="s">
        <v>22</v>
      </c>
      <c r="N214" t="s">
        <v>615</v>
      </c>
      <c r="O214"/>
      <c r="P214"/>
      <c r="Q214"/>
      <c r="R214"/>
      <c r="S214"/>
      <c r="T214"/>
      <c r="U214"/>
      <c r="V214"/>
      <c r="W214"/>
      <c r="AM214" s="5" t="s">
        <v>478</v>
      </c>
      <c r="AN214" s="6" t="s">
        <v>293</v>
      </c>
      <c r="AO214" s="1">
        <v>1</v>
      </c>
    </row>
    <row r="215" spans="2:41" s="1" customFormat="1" ht="28.15" hidden="1" customHeight="1" x14ac:dyDescent="0.25">
      <c r="B215"/>
      <c r="C215"/>
      <c r="D215"/>
      <c r="E215"/>
      <c r="F215"/>
      <c r="G215"/>
      <c r="H215"/>
      <c r="I215"/>
      <c r="J215"/>
      <c r="K215"/>
      <c r="L215"/>
      <c r="M215" s="1" t="s">
        <v>34</v>
      </c>
      <c r="N215" t="s">
        <v>616</v>
      </c>
      <c r="O215"/>
      <c r="P215"/>
      <c r="Q215"/>
      <c r="R215"/>
      <c r="S215"/>
      <c r="T215"/>
      <c r="U215"/>
      <c r="V215"/>
      <c r="W215"/>
      <c r="AM215" s="5" t="s">
        <v>479</v>
      </c>
      <c r="AN215" s="6" t="s">
        <v>293</v>
      </c>
      <c r="AO215" s="1">
        <v>1</v>
      </c>
    </row>
    <row r="216" spans="2:41" s="1" customFormat="1" ht="28.15" hidden="1" customHeight="1" x14ac:dyDescent="0.25">
      <c r="B216"/>
      <c r="C216"/>
      <c r="D216"/>
      <c r="E216"/>
      <c r="F216"/>
      <c r="G216"/>
      <c r="H216"/>
      <c r="I216"/>
      <c r="J216"/>
      <c r="K216"/>
      <c r="L216"/>
      <c r="M216" s="1" t="s">
        <v>49</v>
      </c>
      <c r="N216" t="s">
        <v>617</v>
      </c>
      <c r="O216"/>
      <c r="P216"/>
      <c r="Q216"/>
      <c r="R216"/>
      <c r="S216"/>
      <c r="T216"/>
      <c r="U216"/>
      <c r="V216"/>
      <c r="W216"/>
      <c r="AM216" s="5" t="s">
        <v>480</v>
      </c>
      <c r="AN216" s="6" t="s">
        <v>293</v>
      </c>
      <c r="AO216" s="1">
        <v>1</v>
      </c>
    </row>
    <row r="217" spans="2:41" s="1" customFormat="1" ht="28.15" hidden="1" customHeight="1" x14ac:dyDescent="0.25">
      <c r="B217"/>
      <c r="C217"/>
      <c r="D217"/>
      <c r="E217"/>
      <c r="F217"/>
      <c r="G217"/>
      <c r="H217"/>
      <c r="I217"/>
      <c r="J217"/>
      <c r="K217"/>
      <c r="L217"/>
      <c r="M217"/>
      <c r="N217"/>
      <c r="O217"/>
      <c r="P217"/>
      <c r="Q217"/>
      <c r="R217"/>
      <c r="S217"/>
      <c r="T217"/>
      <c r="U217"/>
      <c r="V217"/>
      <c r="W217"/>
      <c r="AM217" s="5" t="s">
        <v>481</v>
      </c>
      <c r="AN217" s="6" t="s">
        <v>293</v>
      </c>
      <c r="AO217" s="1">
        <v>1</v>
      </c>
    </row>
    <row r="218" spans="2:41" s="1" customFormat="1" ht="28.15" hidden="1" customHeight="1" x14ac:dyDescent="0.25">
      <c r="B218"/>
      <c r="C218"/>
      <c r="D218"/>
      <c r="E218"/>
      <c r="F218"/>
      <c r="G218"/>
      <c r="H218"/>
      <c r="I218"/>
      <c r="J218"/>
      <c r="K218"/>
      <c r="L218">
        <v>0</v>
      </c>
      <c r="M218">
        <v>2</v>
      </c>
      <c r="N218"/>
      <c r="O218"/>
      <c r="P218"/>
      <c r="Q218"/>
      <c r="R218"/>
      <c r="S218"/>
      <c r="T218"/>
      <c r="U218"/>
      <c r="V218"/>
      <c r="W218"/>
      <c r="AM218" s="5" t="s">
        <v>482</v>
      </c>
      <c r="AN218" s="6" t="s">
        <v>293</v>
      </c>
      <c r="AO218" s="1">
        <v>1</v>
      </c>
    </row>
    <row r="219" spans="2:41" s="1" customFormat="1" ht="28.15" hidden="1" customHeight="1" x14ac:dyDescent="0.25">
      <c r="B219"/>
      <c r="C219"/>
      <c r="D219"/>
      <c r="E219"/>
      <c r="F219"/>
      <c r="G219"/>
      <c r="H219"/>
      <c r="I219"/>
      <c r="J219"/>
      <c r="K219"/>
      <c r="L219">
        <v>2131</v>
      </c>
      <c r="M219">
        <v>3</v>
      </c>
      <c r="N219"/>
      <c r="O219"/>
      <c r="P219"/>
      <c r="Q219"/>
      <c r="R219"/>
      <c r="S219"/>
      <c r="T219"/>
      <c r="U219"/>
      <c r="V219"/>
      <c r="W219"/>
      <c r="AM219" s="5" t="s">
        <v>483</v>
      </c>
      <c r="AN219" s="6" t="s">
        <v>293</v>
      </c>
      <c r="AO219" s="1">
        <v>1</v>
      </c>
    </row>
    <row r="220" spans="2:41" s="1" customFormat="1" ht="28.15" hidden="1" customHeight="1" x14ac:dyDescent="0.25">
      <c r="B220"/>
      <c r="C220"/>
      <c r="D220"/>
      <c r="E220"/>
      <c r="F220"/>
      <c r="G220"/>
      <c r="H220"/>
      <c r="I220"/>
      <c r="J220"/>
      <c r="K220"/>
      <c r="L220">
        <v>2601</v>
      </c>
      <c r="M220">
        <v>4</v>
      </c>
      <c r="N220"/>
      <c r="O220"/>
      <c r="P220"/>
      <c r="Q220"/>
      <c r="R220"/>
      <c r="S220"/>
      <c r="T220"/>
      <c r="U220"/>
      <c r="V220"/>
      <c r="W220"/>
      <c r="AM220" s="5" t="s">
        <v>484</v>
      </c>
      <c r="AN220" s="6" t="s">
        <v>293</v>
      </c>
      <c r="AO220" s="1">
        <v>1</v>
      </c>
    </row>
    <row r="221" spans="2:41" s="1" customFormat="1" ht="28.15" hidden="1" customHeight="1" x14ac:dyDescent="0.25">
      <c r="B221"/>
      <c r="C221"/>
      <c r="D221"/>
      <c r="E221"/>
      <c r="F221"/>
      <c r="G221"/>
      <c r="H221"/>
      <c r="I221"/>
      <c r="J221"/>
      <c r="K221"/>
      <c r="L221">
        <v>3000</v>
      </c>
      <c r="M221">
        <v>5</v>
      </c>
      <c r="N221"/>
      <c r="O221"/>
      <c r="P221"/>
      <c r="Q221"/>
      <c r="R221"/>
      <c r="S221"/>
      <c r="T221"/>
      <c r="U221"/>
      <c r="V221"/>
      <c r="W221"/>
      <c r="AM221" s="5" t="s">
        <v>485</v>
      </c>
      <c r="AN221" s="6" t="s">
        <v>293</v>
      </c>
      <c r="AO221" s="1">
        <v>1</v>
      </c>
    </row>
    <row r="222" spans="2:41" s="1" customFormat="1" ht="28.15" hidden="1" customHeight="1" x14ac:dyDescent="0.2">
      <c r="AM222" s="5" t="s">
        <v>486</v>
      </c>
      <c r="AN222" s="6" t="s">
        <v>305</v>
      </c>
      <c r="AO222" s="1">
        <v>1</v>
      </c>
    </row>
    <row r="223" spans="2:41" s="1" customFormat="1" ht="28.15" hidden="1" customHeight="1" x14ac:dyDescent="0.2">
      <c r="B223" s="1" t="s">
        <v>633</v>
      </c>
      <c r="AM223" s="5" t="s">
        <v>487</v>
      </c>
      <c r="AN223" s="6" t="s">
        <v>305</v>
      </c>
      <c r="AO223" s="1">
        <v>1</v>
      </c>
    </row>
    <row r="224" spans="2:41" s="1" customFormat="1" ht="28.15" hidden="1" customHeight="1" x14ac:dyDescent="0.25">
      <c r="B224" t="s">
        <v>309</v>
      </c>
      <c r="C224" t="s">
        <v>308</v>
      </c>
      <c r="D224" t="s">
        <v>300</v>
      </c>
      <c r="E224" t="s">
        <v>607</v>
      </c>
      <c r="F224"/>
      <c r="G224"/>
      <c r="H224" t="s">
        <v>608</v>
      </c>
      <c r="I224" s="1" t="s">
        <v>34</v>
      </c>
      <c r="K224"/>
      <c r="L224"/>
      <c r="M224"/>
      <c r="N224"/>
      <c r="O224"/>
      <c r="P224"/>
      <c r="Q224"/>
      <c r="R224"/>
      <c r="S224"/>
      <c r="T224"/>
      <c r="U224"/>
      <c r="V224"/>
      <c r="W224"/>
      <c r="AM224" s="5" t="s">
        <v>488</v>
      </c>
      <c r="AN224" s="6" t="s">
        <v>305</v>
      </c>
      <c r="AO224" s="1">
        <v>1</v>
      </c>
    </row>
    <row r="225" spans="2:59" s="1" customFormat="1" ht="28.15" hidden="1" customHeight="1" x14ac:dyDescent="0.25">
      <c r="B225">
        <f>+C33</f>
        <v>0</v>
      </c>
      <c r="C225">
        <f>+D33</f>
        <v>0</v>
      </c>
      <c r="D225" s="89">
        <f t="shared" ref="D225:D230" si="109">+F33</f>
        <v>0</v>
      </c>
      <c r="E225" t="e">
        <f t="shared" ref="E225:E230" si="110">HLOOKUP(D225,$H$224:$I$231,K225,FALSE)</f>
        <v>#N/A</v>
      </c>
      <c r="F225">
        <f t="shared" ref="F225:F230" si="111">VLOOKUP(C225,$I$235:$J$238,2)</f>
        <v>2</v>
      </c>
      <c r="G225"/>
      <c r="H225">
        <f>VLOOKUP(B225,$L$231:$O$236,F225)</f>
        <v>502</v>
      </c>
      <c r="I225">
        <f>VLOOKUP(B225,$P$231:$S$236,F225)</f>
        <v>627</v>
      </c>
      <c r="J225"/>
      <c r="K225">
        <v>2</v>
      </c>
      <c r="L225"/>
      <c r="M225"/>
      <c r="N225"/>
      <c r="O225"/>
      <c r="P225"/>
      <c r="Q225"/>
      <c r="R225"/>
      <c r="S225"/>
      <c r="T225"/>
      <c r="U225"/>
      <c r="V225"/>
      <c r="W225"/>
      <c r="AM225" s="5" t="s">
        <v>489</v>
      </c>
      <c r="AN225" s="6" t="s">
        <v>305</v>
      </c>
      <c r="AO225" s="1">
        <v>1</v>
      </c>
    </row>
    <row r="226" spans="2:59" s="1" customFormat="1" ht="28.15" hidden="1" customHeight="1" x14ac:dyDescent="0.25">
      <c r="B226">
        <f>+C34</f>
        <v>0</v>
      </c>
      <c r="C226">
        <f>+D34</f>
        <v>0</v>
      </c>
      <c r="D226" s="89">
        <f t="shared" si="109"/>
        <v>0</v>
      </c>
      <c r="E226" t="e">
        <f t="shared" si="110"/>
        <v>#N/A</v>
      </c>
      <c r="F226">
        <f t="shared" si="111"/>
        <v>2</v>
      </c>
      <c r="G226"/>
      <c r="H226">
        <f t="shared" ref="H226:H230" si="112">VLOOKUP(B226,$L$231:$O$236,F226)</f>
        <v>502</v>
      </c>
      <c r="I226">
        <f t="shared" ref="I226:I230" si="113">VLOOKUP(B226,$P$231:$S$236,F226)</f>
        <v>627</v>
      </c>
      <c r="J226"/>
      <c r="K226">
        <v>3</v>
      </c>
      <c r="L226"/>
      <c r="M226"/>
      <c r="N226"/>
      <c r="O226"/>
      <c r="P226"/>
      <c r="Q226"/>
      <c r="R226"/>
      <c r="S226"/>
      <c r="T226"/>
      <c r="U226"/>
      <c r="V226"/>
      <c r="W226"/>
      <c r="AM226" s="5" t="s">
        <v>490</v>
      </c>
      <c r="AN226" s="6" t="s">
        <v>305</v>
      </c>
      <c r="AO226" s="1">
        <v>1</v>
      </c>
    </row>
    <row r="227" spans="2:59" s="1" customFormat="1" ht="28.15" hidden="1" customHeight="1" x14ac:dyDescent="0.25">
      <c r="B227">
        <f t="shared" ref="B227:C227" si="114">+C35</f>
        <v>0</v>
      </c>
      <c r="C227">
        <f t="shared" si="114"/>
        <v>0</v>
      </c>
      <c r="D227" s="89">
        <f>+F35</f>
        <v>0</v>
      </c>
      <c r="E227" t="e">
        <f t="shared" si="110"/>
        <v>#N/A</v>
      </c>
      <c r="F227">
        <f t="shared" si="111"/>
        <v>2</v>
      </c>
      <c r="G227"/>
      <c r="H227">
        <f t="shared" si="112"/>
        <v>502</v>
      </c>
      <c r="I227">
        <f t="shared" si="113"/>
        <v>627</v>
      </c>
      <c r="J227"/>
      <c r="K227">
        <v>4</v>
      </c>
      <c r="L227" t="s">
        <v>639</v>
      </c>
      <c r="M227"/>
      <c r="N227"/>
      <c r="O227"/>
      <c r="P227"/>
      <c r="Q227"/>
      <c r="R227"/>
      <c r="S227"/>
      <c r="T227"/>
      <c r="U227"/>
      <c r="V227"/>
      <c r="W227"/>
      <c r="AM227" s="5" t="s">
        <v>491</v>
      </c>
      <c r="AN227" s="6" t="s">
        <v>305</v>
      </c>
      <c r="AO227" s="1">
        <v>1</v>
      </c>
    </row>
    <row r="228" spans="2:59" s="1" customFormat="1" ht="28.15" hidden="1" customHeight="1" x14ac:dyDescent="0.25">
      <c r="B228">
        <f t="shared" ref="B228:C228" si="115">+C36</f>
        <v>0</v>
      </c>
      <c r="C228">
        <f t="shared" si="115"/>
        <v>0</v>
      </c>
      <c r="D228" s="89">
        <f>+F36</f>
        <v>0</v>
      </c>
      <c r="E228" t="e">
        <f t="shared" si="110"/>
        <v>#N/A</v>
      </c>
      <c r="F228">
        <f t="shared" si="111"/>
        <v>2</v>
      </c>
      <c r="G228"/>
      <c r="H228">
        <f t="shared" si="112"/>
        <v>502</v>
      </c>
      <c r="I228">
        <f t="shared" si="113"/>
        <v>627</v>
      </c>
      <c r="J228"/>
      <c r="K228">
        <v>5</v>
      </c>
      <c r="L228" s="106"/>
      <c r="M228" s="106" t="s">
        <v>22</v>
      </c>
      <c r="N228" s="106"/>
      <c r="O228" s="106"/>
      <c r="P228" s="106"/>
      <c r="Q228" s="106" t="s">
        <v>600</v>
      </c>
      <c r="R228" s="106"/>
      <c r="S228" s="106"/>
      <c r="T228"/>
      <c r="U228"/>
      <c r="V228"/>
      <c r="W228"/>
      <c r="AM228" s="5" t="s">
        <v>492</v>
      </c>
      <c r="AN228" s="6" t="s">
        <v>305</v>
      </c>
      <c r="AO228" s="1">
        <v>1</v>
      </c>
    </row>
    <row r="229" spans="2:59" s="1" customFormat="1" ht="28.15" hidden="1" customHeight="1" x14ac:dyDescent="0.25">
      <c r="B229">
        <f t="shared" ref="B229:C229" si="116">+C37</f>
        <v>0</v>
      </c>
      <c r="C229">
        <f t="shared" si="116"/>
        <v>0</v>
      </c>
      <c r="D229" s="89">
        <f t="shared" si="109"/>
        <v>0</v>
      </c>
      <c r="E229" t="e">
        <f t="shared" si="110"/>
        <v>#N/A</v>
      </c>
      <c r="F229">
        <f t="shared" si="111"/>
        <v>2</v>
      </c>
      <c r="G229"/>
      <c r="H229">
        <f t="shared" si="112"/>
        <v>502</v>
      </c>
      <c r="I229">
        <f t="shared" si="113"/>
        <v>627</v>
      </c>
      <c r="J229"/>
      <c r="K229">
        <v>6</v>
      </c>
      <c r="L229" s="106"/>
      <c r="M229" s="106" t="s">
        <v>608</v>
      </c>
      <c r="N229" s="106" t="s">
        <v>608</v>
      </c>
      <c r="O229" s="106" t="s">
        <v>608</v>
      </c>
      <c r="P229" s="106"/>
      <c r="Q229" s="106" t="s">
        <v>600</v>
      </c>
      <c r="R229" s="106" t="s">
        <v>600</v>
      </c>
      <c r="S229" s="106" t="s">
        <v>600</v>
      </c>
      <c r="T229"/>
      <c r="U229"/>
      <c r="V229"/>
      <c r="W229"/>
      <c r="AM229" s="5" t="s">
        <v>493</v>
      </c>
      <c r="AN229" s="6" t="s">
        <v>305</v>
      </c>
      <c r="AO229" s="1">
        <v>1</v>
      </c>
    </row>
    <row r="230" spans="2:59" s="1" customFormat="1" ht="28.15" hidden="1" customHeight="1" x14ac:dyDescent="0.25">
      <c r="B230">
        <f t="shared" ref="B230:C230" si="117">+C38</f>
        <v>0</v>
      </c>
      <c r="C230">
        <f t="shared" si="117"/>
        <v>0</v>
      </c>
      <c r="D230" s="89">
        <f t="shared" si="109"/>
        <v>0</v>
      </c>
      <c r="E230" t="e">
        <f t="shared" si="110"/>
        <v>#N/A</v>
      </c>
      <c r="F230">
        <f t="shared" si="111"/>
        <v>2</v>
      </c>
      <c r="G230"/>
      <c r="H230">
        <f t="shared" si="112"/>
        <v>502</v>
      </c>
      <c r="I230">
        <f t="shared" si="113"/>
        <v>627</v>
      </c>
      <c r="J230"/>
      <c r="K230">
        <v>7</v>
      </c>
      <c r="L230" s="106">
        <v>0</v>
      </c>
      <c r="M230" s="106">
        <v>2201</v>
      </c>
      <c r="N230" s="106">
        <v>2401</v>
      </c>
      <c r="O230" s="106">
        <v>2600</v>
      </c>
      <c r="P230" s="106">
        <v>0</v>
      </c>
      <c r="Q230" s="106">
        <v>2201</v>
      </c>
      <c r="R230" s="106">
        <v>2401</v>
      </c>
      <c r="S230" s="106">
        <v>2600</v>
      </c>
      <c r="T230"/>
      <c r="U230"/>
      <c r="V230"/>
      <c r="W230"/>
      <c r="AM230" s="5" t="s">
        <v>494</v>
      </c>
      <c r="AN230" s="6" t="s">
        <v>305</v>
      </c>
      <c r="AO230" s="1">
        <v>1</v>
      </c>
    </row>
    <row r="231" spans="2:59" s="22" customFormat="1" ht="28.15" hidden="1" customHeight="1" x14ac:dyDescent="0.25">
      <c r="B231"/>
      <c r="C231"/>
      <c r="D231"/>
      <c r="E231"/>
      <c r="F231"/>
      <c r="G231"/>
      <c r="H231"/>
      <c r="I231"/>
      <c r="J231"/>
      <c r="K231"/>
      <c r="L231" s="106">
        <v>0</v>
      </c>
      <c r="M231" s="106">
        <v>502</v>
      </c>
      <c r="N231" s="106">
        <v>542</v>
      </c>
      <c r="O231" s="106">
        <v>578</v>
      </c>
      <c r="P231" s="106">
        <v>0</v>
      </c>
      <c r="Q231" s="106">
        <v>627</v>
      </c>
      <c r="R231" s="106">
        <v>678</v>
      </c>
      <c r="S231" s="106">
        <v>725</v>
      </c>
      <c r="T231"/>
      <c r="U231"/>
      <c r="V231"/>
      <c r="W231"/>
      <c r="X231" s="1"/>
      <c r="Y231" s="1"/>
      <c r="Z231" s="1"/>
      <c r="AA231" s="1"/>
      <c r="AB231" s="1"/>
      <c r="AC231" s="1"/>
      <c r="AD231" s="1"/>
      <c r="AE231" s="1"/>
      <c r="AF231" s="1"/>
      <c r="AG231" s="1"/>
      <c r="AH231" s="1"/>
      <c r="AI231" s="1"/>
      <c r="AJ231" s="1"/>
      <c r="AK231" s="1"/>
      <c r="AL231" s="1"/>
      <c r="AM231" s="5" t="s">
        <v>495</v>
      </c>
      <c r="AN231" s="6" t="s">
        <v>353</v>
      </c>
      <c r="AO231" s="1">
        <v>1</v>
      </c>
      <c r="AP231" s="1"/>
      <c r="AQ231" s="1"/>
      <c r="AR231" s="1"/>
      <c r="AS231" s="1"/>
      <c r="AT231" s="1"/>
      <c r="AU231" s="1"/>
      <c r="AV231" s="1"/>
      <c r="AW231" s="1"/>
      <c r="AX231" s="1"/>
      <c r="AY231" s="1"/>
      <c r="AZ231" s="1"/>
      <c r="BA231" s="1"/>
      <c r="BB231" s="1"/>
      <c r="BC231" s="1"/>
      <c r="BD231" s="1"/>
      <c r="BE231" s="1"/>
      <c r="BF231" s="1"/>
      <c r="BG231" s="1"/>
    </row>
    <row r="232" spans="2:59" s="22" customFormat="1" ht="28.15" hidden="1" customHeight="1" x14ac:dyDescent="0.25">
      <c r="B232"/>
      <c r="C232"/>
      <c r="D232"/>
      <c r="E232"/>
      <c r="F232"/>
      <c r="G232"/>
      <c r="H232"/>
      <c r="I232"/>
      <c r="J232"/>
      <c r="K232"/>
      <c r="L232" s="106">
        <v>1001</v>
      </c>
      <c r="M232" s="106">
        <v>578</v>
      </c>
      <c r="N232" s="106">
        <v>618</v>
      </c>
      <c r="O232" s="106">
        <v>657</v>
      </c>
      <c r="P232" s="106">
        <v>1001</v>
      </c>
      <c r="Q232" s="106">
        <v>725</v>
      </c>
      <c r="R232" s="106">
        <v>773</v>
      </c>
      <c r="S232" s="106">
        <v>817</v>
      </c>
      <c r="T232"/>
      <c r="U232"/>
      <c r="V232"/>
      <c r="W232"/>
      <c r="X232" s="1"/>
      <c r="Y232" s="1"/>
      <c r="Z232" s="1"/>
      <c r="AA232" s="1"/>
      <c r="AB232" s="1"/>
      <c r="AC232" s="1"/>
      <c r="AD232" s="1"/>
      <c r="AE232" s="1"/>
      <c r="AF232" s="1"/>
      <c r="AG232" s="1"/>
      <c r="AH232" s="1"/>
      <c r="AI232" s="1"/>
      <c r="AJ232" s="1"/>
      <c r="AK232" s="1"/>
      <c r="AL232" s="1"/>
      <c r="AM232" s="5" t="s">
        <v>496</v>
      </c>
      <c r="AN232" s="6" t="s">
        <v>353</v>
      </c>
      <c r="AO232" s="1">
        <v>1</v>
      </c>
      <c r="AP232" s="1"/>
      <c r="AQ232" s="1"/>
      <c r="AR232" s="1"/>
      <c r="AS232" s="1"/>
      <c r="AT232" s="1"/>
      <c r="AU232" s="1"/>
      <c r="AV232" s="1"/>
      <c r="AW232" s="1"/>
      <c r="AX232" s="1"/>
      <c r="AY232" s="1"/>
      <c r="AZ232" s="1"/>
      <c r="BA232" s="1"/>
      <c r="BB232" s="1"/>
      <c r="BC232" s="1"/>
      <c r="BD232" s="1"/>
      <c r="BE232" s="1"/>
      <c r="BF232" s="1"/>
      <c r="BG232" s="1"/>
    </row>
    <row r="233" spans="2:59" s="22" customFormat="1" ht="28.15" hidden="1" customHeight="1" x14ac:dyDescent="0.25">
      <c r="B233"/>
      <c r="C233"/>
      <c r="D233"/>
      <c r="E233"/>
      <c r="F233"/>
      <c r="G233"/>
      <c r="H233"/>
      <c r="I233"/>
      <c r="J233"/>
      <c r="K233"/>
      <c r="L233" s="106">
        <v>1501</v>
      </c>
      <c r="M233" s="106">
        <v>638</v>
      </c>
      <c r="N233" s="106">
        <v>678</v>
      </c>
      <c r="O233" s="106">
        <v>714</v>
      </c>
      <c r="P233" s="106">
        <v>1501</v>
      </c>
      <c r="Q233" s="106">
        <v>797</v>
      </c>
      <c r="R233" s="106">
        <v>846</v>
      </c>
      <c r="S233" s="106">
        <v>892</v>
      </c>
      <c r="T233"/>
      <c r="U233"/>
      <c r="V233"/>
      <c r="W233"/>
      <c r="X233" s="1"/>
      <c r="Y233" s="1"/>
      <c r="Z233" s="1"/>
      <c r="AA233" s="1"/>
      <c r="AB233" s="1"/>
      <c r="AC233" s="1"/>
      <c r="AD233" s="1"/>
      <c r="AE233" s="1"/>
      <c r="AF233" s="1"/>
      <c r="AG233" s="1"/>
      <c r="AH233" s="1"/>
      <c r="AI233" s="1"/>
      <c r="AJ233" s="1"/>
      <c r="AK233" s="1"/>
      <c r="AL233" s="1"/>
      <c r="AM233" s="5" t="s">
        <v>497</v>
      </c>
      <c r="AN233" s="6" t="s">
        <v>353</v>
      </c>
      <c r="AO233" s="1">
        <v>1</v>
      </c>
      <c r="AP233" s="1"/>
      <c r="AQ233" s="1"/>
      <c r="AR233" s="1"/>
      <c r="AS233" s="1"/>
      <c r="AT233" s="1"/>
      <c r="AU233" s="1"/>
      <c r="AV233" s="1"/>
      <c r="AW233" s="1"/>
      <c r="AX233" s="1"/>
      <c r="AY233" s="1"/>
      <c r="AZ233" s="1"/>
      <c r="BA233" s="1"/>
      <c r="BB233" s="1"/>
      <c r="BC233" s="1"/>
      <c r="BD233" s="1"/>
      <c r="BE233" s="1"/>
      <c r="BF233" s="1"/>
      <c r="BG233" s="1"/>
    </row>
    <row r="234" spans="2:59" s="22" customFormat="1" ht="28.15" hidden="1" customHeight="1" x14ac:dyDescent="0.25">
      <c r="B234"/>
      <c r="C234"/>
      <c r="D234"/>
      <c r="E234"/>
      <c r="F234"/>
      <c r="G234"/>
      <c r="H234"/>
      <c r="I234"/>
      <c r="J234"/>
      <c r="K234"/>
      <c r="L234" s="106">
        <v>2001</v>
      </c>
      <c r="M234" s="106">
        <v>1156</v>
      </c>
      <c r="N234" s="106">
        <v>1236</v>
      </c>
      <c r="O234" s="106">
        <v>1314</v>
      </c>
      <c r="P234" s="106">
        <v>2001</v>
      </c>
      <c r="Q234" s="106">
        <v>1450</v>
      </c>
      <c r="R234" s="106">
        <v>1546</v>
      </c>
      <c r="S234" s="106">
        <v>1634</v>
      </c>
      <c r="T234"/>
      <c r="U234"/>
      <c r="V234"/>
      <c r="W234"/>
      <c r="X234" s="1"/>
      <c r="Y234" s="1"/>
      <c r="Z234" s="1"/>
      <c r="AA234" s="1"/>
      <c r="AB234" s="1"/>
      <c r="AC234" s="1"/>
      <c r="AD234" s="1"/>
      <c r="AE234" s="1"/>
      <c r="AF234" s="1"/>
      <c r="AG234" s="1"/>
      <c r="AH234" s="1"/>
      <c r="AI234" s="1"/>
      <c r="AJ234" s="1"/>
      <c r="AK234" s="1"/>
      <c r="AL234" s="1"/>
      <c r="AM234" s="5" t="s">
        <v>498</v>
      </c>
      <c r="AN234" s="6" t="s">
        <v>353</v>
      </c>
      <c r="AO234" s="1">
        <v>1</v>
      </c>
      <c r="AP234" s="1"/>
      <c r="AQ234" s="1"/>
      <c r="AR234" s="1"/>
      <c r="AS234" s="1"/>
      <c r="AT234" s="1"/>
      <c r="AU234" s="1"/>
      <c r="AV234" s="1"/>
      <c r="AW234" s="1"/>
      <c r="AX234" s="1"/>
      <c r="AY234" s="1"/>
      <c r="AZ234" s="1"/>
      <c r="BA234" s="1"/>
      <c r="BB234" s="1"/>
      <c r="BC234" s="1"/>
      <c r="BD234" s="1"/>
      <c r="BE234" s="1"/>
      <c r="BF234" s="1"/>
      <c r="BG234" s="1"/>
    </row>
    <row r="235" spans="2:59" s="22" customFormat="1" ht="28.15" hidden="1" customHeight="1" x14ac:dyDescent="0.25">
      <c r="I235">
        <v>0</v>
      </c>
      <c r="J235">
        <v>2</v>
      </c>
      <c r="L235" s="107">
        <v>3001</v>
      </c>
      <c r="M235" s="107">
        <v>1276</v>
      </c>
      <c r="N235" s="107">
        <v>1356</v>
      </c>
      <c r="O235" s="108">
        <v>1428</v>
      </c>
      <c r="P235" s="107">
        <v>3001</v>
      </c>
      <c r="Q235" s="108">
        <v>1594</v>
      </c>
      <c r="R235" s="108">
        <v>1692</v>
      </c>
      <c r="S235" s="108">
        <v>1784</v>
      </c>
      <c r="T235" s="1"/>
      <c r="U235" s="1"/>
      <c r="V235" s="1"/>
      <c r="W235" s="1"/>
      <c r="X235" s="1"/>
      <c r="Y235" s="1"/>
      <c r="Z235" s="1"/>
      <c r="AA235" s="1"/>
      <c r="AB235" s="1"/>
      <c r="AC235" s="1"/>
      <c r="AD235" s="1"/>
      <c r="AE235" s="1"/>
      <c r="AF235" s="1"/>
      <c r="AG235" s="1"/>
      <c r="AH235" s="1"/>
      <c r="AI235" s="1"/>
      <c r="AJ235" s="1"/>
      <c r="AK235" s="1"/>
      <c r="AL235" s="1"/>
      <c r="AM235" s="5" t="s">
        <v>499</v>
      </c>
      <c r="AN235" s="6" t="s">
        <v>353</v>
      </c>
      <c r="AO235" s="1">
        <v>1</v>
      </c>
      <c r="AP235" s="1"/>
      <c r="AQ235" s="1"/>
      <c r="AR235" s="1"/>
      <c r="AS235" s="1"/>
      <c r="AT235" s="1"/>
      <c r="AU235" s="1"/>
      <c r="AV235" s="1"/>
      <c r="AW235" s="1"/>
      <c r="AX235" s="1"/>
      <c r="AY235" s="1"/>
      <c r="AZ235" s="1"/>
      <c r="BA235" s="1"/>
      <c r="BB235" s="1"/>
      <c r="BC235" s="1"/>
      <c r="BD235" s="1"/>
      <c r="BE235" s="1"/>
      <c r="BF235" s="1"/>
      <c r="BG235" s="1"/>
    </row>
    <row r="236" spans="2:59" s="22" customFormat="1" ht="28.15" hidden="1" customHeight="1" x14ac:dyDescent="0.25">
      <c r="I236">
        <v>2201</v>
      </c>
      <c r="J236">
        <v>3</v>
      </c>
      <c r="L236" s="107">
        <v>4001</v>
      </c>
      <c r="M236" s="107"/>
      <c r="N236" s="107"/>
      <c r="O236" s="108"/>
      <c r="P236" s="107">
        <v>4001</v>
      </c>
      <c r="Q236" s="108"/>
      <c r="R236" s="108"/>
      <c r="S236" s="108"/>
      <c r="T236" s="1"/>
      <c r="U236" s="1"/>
      <c r="V236" s="1"/>
      <c r="W236" s="1"/>
      <c r="X236" s="1"/>
      <c r="Y236" s="1"/>
      <c r="Z236" s="1"/>
      <c r="AA236" s="1"/>
      <c r="AB236" s="1"/>
      <c r="AC236" s="1"/>
      <c r="AD236" s="1"/>
      <c r="AE236" s="1"/>
      <c r="AF236" s="1"/>
      <c r="AG236" s="1"/>
      <c r="AH236" s="1"/>
      <c r="AI236" s="1"/>
      <c r="AJ236" s="1"/>
      <c r="AK236" s="1"/>
      <c r="AL236" s="1"/>
      <c r="AM236" s="5" t="s">
        <v>500</v>
      </c>
      <c r="AN236" s="6" t="s">
        <v>353</v>
      </c>
      <c r="AO236" s="1">
        <v>1</v>
      </c>
      <c r="AP236" s="1"/>
      <c r="AQ236" s="1"/>
      <c r="AR236" s="1"/>
      <c r="AS236" s="1"/>
      <c r="AT236" s="1"/>
      <c r="AU236" s="1"/>
      <c r="AV236" s="1"/>
      <c r="AW236" s="1"/>
      <c r="AX236" s="1"/>
      <c r="AY236" s="1"/>
      <c r="AZ236" s="1"/>
      <c r="BA236" s="1"/>
      <c r="BB236" s="1"/>
      <c r="BC236" s="1"/>
      <c r="BD236" s="1"/>
      <c r="BE236" s="1"/>
      <c r="BF236" s="1"/>
      <c r="BG236" s="1"/>
    </row>
    <row r="237" spans="2:59" s="22" customFormat="1" ht="28.15" hidden="1" customHeight="1" x14ac:dyDescent="0.25">
      <c r="I237">
        <v>2401</v>
      </c>
      <c r="J237">
        <v>4</v>
      </c>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5" t="s">
        <v>501</v>
      </c>
      <c r="AN237" s="6" t="s">
        <v>353</v>
      </c>
      <c r="AO237" s="1">
        <v>1</v>
      </c>
      <c r="AP237" s="1"/>
      <c r="AQ237" s="1"/>
      <c r="AR237" s="1"/>
      <c r="AS237" s="1"/>
      <c r="AT237" s="1"/>
      <c r="AU237" s="1"/>
      <c r="AV237" s="1"/>
      <c r="AW237" s="1"/>
      <c r="AX237" s="1"/>
      <c r="AY237" s="1"/>
      <c r="AZ237" s="1"/>
      <c r="BA237" s="1"/>
      <c r="BB237" s="1"/>
      <c r="BC237" s="1"/>
      <c r="BD237" s="1"/>
      <c r="BE237" s="1"/>
      <c r="BF237" s="1"/>
      <c r="BG237" s="1"/>
    </row>
    <row r="238" spans="2:59" s="22" customFormat="1" ht="28.15" hidden="1" customHeight="1" x14ac:dyDescent="0.25">
      <c r="I238">
        <v>2601</v>
      </c>
      <c r="J238">
        <v>5</v>
      </c>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5" t="s">
        <v>502</v>
      </c>
      <c r="AN238" s="6" t="s">
        <v>353</v>
      </c>
      <c r="AO238" s="1">
        <v>1</v>
      </c>
      <c r="AP238" s="1"/>
      <c r="AQ238" s="1"/>
      <c r="AR238" s="1"/>
      <c r="AS238" s="1"/>
      <c r="AT238" s="1"/>
      <c r="AU238" s="1"/>
      <c r="AV238" s="1"/>
      <c r="AW238" s="1"/>
      <c r="AX238" s="1"/>
      <c r="AY238" s="1"/>
      <c r="AZ238" s="1"/>
      <c r="BA238" s="1"/>
      <c r="BB238" s="1"/>
      <c r="BC238" s="1"/>
      <c r="BD238" s="1"/>
      <c r="BE238" s="1"/>
      <c r="BF238" s="1"/>
      <c r="BG238" s="1"/>
    </row>
    <row r="239" spans="2:59" s="22" customFormat="1" ht="28.15" hidden="1" customHeight="1" x14ac:dyDescent="0.2">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5" t="s">
        <v>503</v>
      </c>
      <c r="AN239" s="6" t="s">
        <v>353</v>
      </c>
      <c r="AO239" s="1">
        <v>1</v>
      </c>
      <c r="AP239" s="1"/>
      <c r="AQ239" s="1"/>
      <c r="AR239" s="1"/>
      <c r="AS239" s="1"/>
      <c r="AT239" s="1"/>
      <c r="AU239" s="1"/>
      <c r="AV239" s="1"/>
      <c r="AW239" s="1"/>
      <c r="AX239" s="1"/>
      <c r="AY239" s="1"/>
      <c r="AZ239" s="1"/>
      <c r="BA239" s="1"/>
      <c r="BB239" s="1"/>
      <c r="BC239" s="1"/>
      <c r="BD239" s="1"/>
      <c r="BE239" s="1"/>
      <c r="BF239" s="1"/>
      <c r="BG239" s="1"/>
    </row>
    <row r="240" spans="2:59" s="22" customFormat="1" ht="28.15" customHeight="1" x14ac:dyDescent="0.2">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5" t="s">
        <v>504</v>
      </c>
      <c r="AN240" s="6" t="s">
        <v>415</v>
      </c>
      <c r="AO240" s="1">
        <v>1</v>
      </c>
      <c r="AP240" s="1"/>
      <c r="AQ240" s="1"/>
      <c r="AR240" s="1"/>
      <c r="AS240" s="1"/>
      <c r="AT240" s="1"/>
      <c r="AU240" s="1"/>
      <c r="AV240" s="1"/>
      <c r="AW240" s="1"/>
      <c r="AX240" s="1"/>
      <c r="AY240" s="1"/>
      <c r="AZ240" s="1"/>
      <c r="BA240" s="1"/>
      <c r="BB240" s="1"/>
      <c r="BC240" s="1"/>
      <c r="BD240" s="1"/>
      <c r="BE240" s="1"/>
      <c r="BF240" s="1"/>
      <c r="BG240" s="1"/>
    </row>
    <row r="241" spans="15:59" s="22" customFormat="1" ht="28.15" customHeight="1" x14ac:dyDescent="0.2">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5" t="s">
        <v>505</v>
      </c>
      <c r="AN241" s="6" t="s">
        <v>415</v>
      </c>
      <c r="AO241" s="1">
        <v>1</v>
      </c>
      <c r="AP241" s="1"/>
      <c r="AQ241" s="1"/>
      <c r="AR241" s="1"/>
      <c r="AS241" s="1"/>
      <c r="AT241" s="1"/>
      <c r="AU241" s="1"/>
      <c r="AV241" s="1"/>
      <c r="AW241" s="1"/>
      <c r="AX241" s="1"/>
      <c r="AY241" s="1"/>
      <c r="AZ241" s="1"/>
      <c r="BA241" s="1"/>
      <c r="BB241" s="1"/>
      <c r="BC241" s="1"/>
      <c r="BD241" s="1"/>
      <c r="BE241" s="1"/>
      <c r="BF241" s="1"/>
      <c r="BG241" s="1"/>
    </row>
    <row r="242" spans="15:59" s="22" customFormat="1" ht="28.15" customHeight="1" x14ac:dyDescent="0.2">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5" t="s">
        <v>506</v>
      </c>
      <c r="AN242" s="6" t="s">
        <v>415</v>
      </c>
      <c r="AO242" s="1">
        <v>1</v>
      </c>
      <c r="AP242" s="1"/>
      <c r="AQ242" s="1"/>
      <c r="AR242" s="1"/>
      <c r="AS242" s="1"/>
      <c r="AT242" s="1"/>
      <c r="AU242" s="1"/>
      <c r="AV242" s="1"/>
      <c r="AW242" s="1"/>
      <c r="AX242" s="1"/>
      <c r="AY242" s="1"/>
      <c r="AZ242" s="1"/>
      <c r="BA242" s="1"/>
      <c r="BB242" s="1"/>
      <c r="BC242" s="1"/>
      <c r="BD242" s="1"/>
      <c r="BE242" s="1"/>
      <c r="BF242" s="1"/>
      <c r="BG242" s="1"/>
    </row>
    <row r="243" spans="15:59" s="22" customFormat="1" ht="28.15" customHeight="1" x14ac:dyDescent="0.2">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5" t="s">
        <v>507</v>
      </c>
      <c r="AN243" s="6" t="s">
        <v>415</v>
      </c>
      <c r="AO243" s="1">
        <v>1</v>
      </c>
      <c r="AP243" s="1"/>
      <c r="AQ243" s="1"/>
      <c r="AR243" s="1"/>
      <c r="AS243" s="1"/>
      <c r="AT243" s="1"/>
      <c r="AU243" s="1"/>
      <c r="AV243" s="1"/>
      <c r="AW243" s="1"/>
      <c r="AX243" s="1"/>
      <c r="AY243" s="1"/>
      <c r="AZ243" s="1"/>
      <c r="BA243" s="1"/>
      <c r="BB243" s="1"/>
      <c r="BC243" s="1"/>
      <c r="BD243" s="1"/>
      <c r="BE243" s="1"/>
      <c r="BF243" s="1"/>
      <c r="BG243" s="1"/>
    </row>
    <row r="244" spans="15:59" s="22" customFormat="1" ht="28.15" customHeight="1" x14ac:dyDescent="0.2">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5" t="s">
        <v>508</v>
      </c>
      <c r="AN244" s="6" t="s">
        <v>415</v>
      </c>
      <c r="AO244" s="1">
        <v>1</v>
      </c>
      <c r="AP244" s="1"/>
      <c r="AQ244" s="1"/>
      <c r="AR244" s="1"/>
      <c r="AS244" s="1"/>
      <c r="AT244" s="1"/>
      <c r="AU244" s="1"/>
      <c r="AV244" s="1"/>
      <c r="AW244" s="1"/>
      <c r="AX244" s="1"/>
      <c r="AY244" s="1"/>
      <c r="AZ244" s="1"/>
      <c r="BA244" s="1"/>
      <c r="BB244" s="1"/>
      <c r="BC244" s="1"/>
      <c r="BD244" s="1"/>
      <c r="BE244" s="1"/>
      <c r="BF244" s="1"/>
      <c r="BG244" s="1"/>
    </row>
    <row r="245" spans="15:59" s="22" customFormat="1" ht="28.15" customHeight="1" x14ac:dyDescent="0.2">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5" t="s">
        <v>509</v>
      </c>
      <c r="AN245" s="6" t="s">
        <v>415</v>
      </c>
      <c r="AO245" s="1">
        <v>1</v>
      </c>
      <c r="AP245" s="1"/>
      <c r="AQ245" s="1"/>
      <c r="AR245" s="1"/>
      <c r="AS245" s="1"/>
      <c r="AT245" s="1"/>
      <c r="AU245" s="1"/>
      <c r="AV245" s="1"/>
      <c r="AW245" s="1"/>
      <c r="AX245" s="1"/>
      <c r="AY245" s="1"/>
      <c r="AZ245" s="1"/>
      <c r="BA245" s="1"/>
      <c r="BB245" s="1"/>
      <c r="BC245" s="1"/>
      <c r="BD245" s="1"/>
      <c r="BE245" s="1"/>
      <c r="BF245" s="1"/>
      <c r="BG245" s="1"/>
    </row>
    <row r="246" spans="15:59" s="22" customFormat="1" ht="28.15" customHeight="1" x14ac:dyDescent="0.2">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5" t="s">
        <v>510</v>
      </c>
      <c r="AN246" s="6" t="s">
        <v>415</v>
      </c>
      <c r="AO246" s="1">
        <v>1</v>
      </c>
      <c r="AP246" s="1"/>
      <c r="AQ246" s="1"/>
      <c r="AR246" s="1"/>
      <c r="AS246" s="1"/>
      <c r="AT246" s="1"/>
      <c r="AU246" s="1"/>
      <c r="AV246" s="1"/>
      <c r="AW246" s="1"/>
      <c r="AX246" s="1"/>
      <c r="AY246" s="1"/>
      <c r="AZ246" s="1"/>
      <c r="BA246" s="1"/>
      <c r="BB246" s="1"/>
      <c r="BC246" s="1"/>
      <c r="BD246" s="1"/>
      <c r="BE246" s="1"/>
      <c r="BF246" s="1"/>
      <c r="BG246" s="1"/>
    </row>
    <row r="247" spans="15:59" s="22" customFormat="1" ht="28.15" customHeight="1" x14ac:dyDescent="0.2">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5" t="s">
        <v>511</v>
      </c>
      <c r="AN247" s="6" t="s">
        <v>415</v>
      </c>
      <c r="AO247" s="1">
        <v>1</v>
      </c>
      <c r="AP247" s="1"/>
      <c r="AQ247" s="1"/>
      <c r="AR247" s="1"/>
      <c r="AS247" s="1"/>
      <c r="AT247" s="1"/>
      <c r="AU247" s="1"/>
      <c r="AV247" s="1"/>
      <c r="AW247" s="1"/>
      <c r="AX247" s="1"/>
      <c r="AY247" s="1"/>
      <c r="AZ247" s="1"/>
      <c r="BA247" s="1"/>
      <c r="BB247" s="1"/>
      <c r="BC247" s="1"/>
      <c r="BD247" s="1"/>
      <c r="BE247" s="1"/>
      <c r="BF247" s="1"/>
      <c r="BG247" s="1"/>
    </row>
    <row r="248" spans="15:59" s="22" customFormat="1" ht="28.15" customHeight="1" x14ac:dyDescent="0.2">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5" t="s">
        <v>512</v>
      </c>
      <c r="AN248" s="6" t="s">
        <v>415</v>
      </c>
      <c r="AO248" s="1">
        <v>1</v>
      </c>
      <c r="AP248" s="1"/>
      <c r="AQ248" s="1"/>
      <c r="AR248" s="1"/>
      <c r="AS248" s="1"/>
      <c r="AT248" s="1"/>
      <c r="AU248" s="1"/>
      <c r="AV248" s="1"/>
      <c r="AW248" s="1"/>
      <c r="AX248" s="1"/>
      <c r="AY248" s="1"/>
      <c r="AZ248" s="1"/>
      <c r="BA248" s="1"/>
      <c r="BB248" s="1"/>
      <c r="BC248" s="1"/>
      <c r="BD248" s="1"/>
      <c r="BE248" s="1"/>
      <c r="BF248" s="1"/>
      <c r="BG248" s="1"/>
    </row>
    <row r="249" spans="15:59" ht="28.15" customHeight="1" x14ac:dyDescent="0.2">
      <c r="AM249" s="5" t="s">
        <v>620</v>
      </c>
      <c r="AN249" s="6"/>
      <c r="AO249" s="1">
        <v>0</v>
      </c>
    </row>
    <row r="250" spans="15:59" ht="28.15" customHeight="1" x14ac:dyDescent="0.2">
      <c r="AM250" s="5"/>
      <c r="AN250" s="6"/>
    </row>
    <row r="251" spans="15:59" ht="28.15" customHeight="1" x14ac:dyDescent="0.2">
      <c r="AM251" s="5"/>
      <c r="AN251" s="6"/>
    </row>
    <row r="252" spans="15:59" ht="28.9" customHeight="1" x14ac:dyDescent="0.2">
      <c r="AM252" s="5"/>
      <c r="AN252" s="6"/>
    </row>
    <row r="253" spans="15:59" ht="28.9" customHeight="1" x14ac:dyDescent="0.2">
      <c r="AM253" s="5"/>
      <c r="AN253" s="6"/>
    </row>
    <row r="254" spans="15:59" ht="28.9" customHeight="1" x14ac:dyDescent="0.2">
      <c r="AM254" s="5"/>
      <c r="AN254" s="6"/>
    </row>
    <row r="255" spans="15:59" ht="28.9" customHeight="1" x14ac:dyDescent="0.2"/>
    <row r="256" spans="15:59" ht="28.9" customHeight="1" x14ac:dyDescent="0.2"/>
    <row r="257" ht="28.9" customHeight="1" x14ac:dyDescent="0.2"/>
    <row r="258" ht="28.9" customHeight="1" x14ac:dyDescent="0.2"/>
    <row r="259" ht="28.9" customHeight="1" x14ac:dyDescent="0.2"/>
    <row r="260" ht="28.9" customHeight="1" x14ac:dyDescent="0.2"/>
    <row r="261" ht="28.9" customHeight="1" x14ac:dyDescent="0.2"/>
    <row r="262" ht="28.9" customHeight="1" x14ac:dyDescent="0.2"/>
    <row r="263" ht="28.9" customHeight="1" x14ac:dyDescent="0.2"/>
    <row r="264" ht="28.9" customHeight="1" x14ac:dyDescent="0.2"/>
    <row r="265" ht="28.9" customHeight="1" x14ac:dyDescent="0.2"/>
    <row r="266" ht="28.9" customHeight="1" x14ac:dyDescent="0.2"/>
    <row r="267" ht="28.9" customHeight="1" x14ac:dyDescent="0.2"/>
    <row r="268" ht="28.9" customHeight="1" x14ac:dyDescent="0.2"/>
    <row r="269" ht="28.9" customHeight="1" x14ac:dyDescent="0.2"/>
    <row r="270" ht="28.9" customHeight="1" x14ac:dyDescent="0.2"/>
    <row r="271" ht="28.9" customHeight="1" x14ac:dyDescent="0.2"/>
    <row r="272" ht="28.9" customHeight="1" x14ac:dyDescent="0.2"/>
    <row r="273" ht="28.9" customHeight="1" x14ac:dyDescent="0.2"/>
    <row r="274" ht="28.9" customHeight="1" x14ac:dyDescent="0.2"/>
    <row r="275" ht="28.9" customHeight="1" x14ac:dyDescent="0.2"/>
    <row r="276" ht="28.9" customHeight="1" x14ac:dyDescent="0.2"/>
    <row r="277" ht="28.9" customHeight="1" x14ac:dyDescent="0.2"/>
    <row r="278" ht="28.9" customHeight="1" x14ac:dyDescent="0.2"/>
    <row r="279" ht="28.9" customHeight="1" x14ac:dyDescent="0.2"/>
    <row r="280" ht="28.9" customHeight="1" x14ac:dyDescent="0.2"/>
    <row r="281" ht="28.9" customHeight="1" x14ac:dyDescent="0.2"/>
    <row r="282" ht="28.9" customHeight="1" x14ac:dyDescent="0.2"/>
    <row r="283" ht="28.9" customHeight="1" x14ac:dyDescent="0.2"/>
    <row r="284" ht="28.9" customHeight="1" x14ac:dyDescent="0.2"/>
    <row r="285" ht="28.9" customHeight="1" x14ac:dyDescent="0.2"/>
    <row r="286" ht="28.9" customHeight="1" x14ac:dyDescent="0.2"/>
    <row r="287" ht="28.9" customHeight="1" x14ac:dyDescent="0.2"/>
    <row r="288" ht="28.9" customHeight="1" x14ac:dyDescent="0.2"/>
    <row r="289" ht="28.9" customHeight="1" x14ac:dyDescent="0.2"/>
    <row r="290" ht="28.9" customHeight="1" x14ac:dyDescent="0.2"/>
    <row r="291" ht="28.9" customHeight="1" x14ac:dyDescent="0.2"/>
    <row r="292" ht="28.9" customHeight="1" x14ac:dyDescent="0.2"/>
    <row r="293" ht="28.9" customHeight="1" x14ac:dyDescent="0.2"/>
    <row r="294" ht="28.9" customHeight="1" x14ac:dyDescent="0.2"/>
    <row r="295" ht="28.9" customHeight="1" x14ac:dyDescent="0.2"/>
    <row r="296" ht="28.9" customHeight="1" x14ac:dyDescent="0.2"/>
    <row r="297" ht="28.9" customHeight="1" x14ac:dyDescent="0.2"/>
    <row r="298" ht="28.9" customHeight="1" x14ac:dyDescent="0.2"/>
    <row r="299" ht="28.9" customHeight="1" x14ac:dyDescent="0.2"/>
    <row r="300" ht="28.9" customHeight="1" x14ac:dyDescent="0.2"/>
    <row r="301" ht="28.9" customHeight="1" x14ac:dyDescent="0.2"/>
    <row r="302" ht="28.9" customHeight="1" x14ac:dyDescent="0.2"/>
    <row r="303" ht="28.9" customHeight="1" x14ac:dyDescent="0.2"/>
    <row r="304" ht="28.9" customHeight="1" x14ac:dyDescent="0.2"/>
    <row r="305" ht="28.9" customHeight="1" x14ac:dyDescent="0.2"/>
    <row r="306" ht="28.9" customHeight="1" x14ac:dyDescent="0.2"/>
    <row r="307" ht="28.9" customHeight="1" x14ac:dyDescent="0.2"/>
    <row r="308" ht="28.9" customHeight="1" x14ac:dyDescent="0.2"/>
    <row r="309" ht="28.9" customHeight="1" x14ac:dyDescent="0.2"/>
    <row r="310" ht="28.9" customHeight="1" x14ac:dyDescent="0.2"/>
    <row r="311" ht="28.9" customHeight="1" x14ac:dyDescent="0.2"/>
    <row r="312" ht="28.9" customHeight="1" x14ac:dyDescent="0.2"/>
    <row r="313" ht="28.9" customHeight="1" x14ac:dyDescent="0.2"/>
    <row r="314" ht="28.9" customHeight="1" x14ac:dyDescent="0.2"/>
    <row r="315" ht="28.9" customHeight="1" x14ac:dyDescent="0.2"/>
    <row r="316" ht="28.9" customHeight="1" x14ac:dyDescent="0.2"/>
    <row r="317" ht="28.9" customHeight="1" x14ac:dyDescent="0.2"/>
    <row r="318" ht="28.9" customHeight="1" x14ac:dyDescent="0.2"/>
    <row r="319" ht="28.9" customHeight="1" x14ac:dyDescent="0.2"/>
    <row r="320" ht="28.9" customHeight="1" x14ac:dyDescent="0.2"/>
    <row r="321" ht="23.25" customHeight="1" x14ac:dyDescent="0.2"/>
    <row r="322" ht="23.25" customHeight="1" x14ac:dyDescent="0.2"/>
    <row r="323" ht="23.25" customHeight="1" x14ac:dyDescent="0.2"/>
    <row r="324" ht="23.25" customHeight="1" x14ac:dyDescent="0.2"/>
    <row r="325" ht="23.25" customHeight="1" x14ac:dyDescent="0.2"/>
    <row r="326" ht="23.25" customHeight="1" x14ac:dyDescent="0.2"/>
    <row r="327" ht="23.25" customHeight="1" x14ac:dyDescent="0.2"/>
    <row r="328" ht="23.25" customHeight="1" x14ac:dyDescent="0.2"/>
    <row r="329" ht="23.25" customHeight="1" x14ac:dyDescent="0.2"/>
    <row r="330" ht="23.25" customHeight="1" x14ac:dyDescent="0.2"/>
    <row r="331" ht="23.25" customHeight="1" x14ac:dyDescent="0.2"/>
    <row r="332" ht="23.25" customHeight="1" x14ac:dyDescent="0.2"/>
    <row r="333" ht="23.25" customHeight="1" x14ac:dyDescent="0.2"/>
    <row r="334" ht="23.25" customHeight="1" x14ac:dyDescent="0.2"/>
    <row r="335" ht="23.25" customHeight="1" x14ac:dyDescent="0.2"/>
    <row r="336" ht="23.25" customHeight="1" x14ac:dyDescent="0.2"/>
    <row r="337" ht="23.25" customHeight="1" x14ac:dyDescent="0.2"/>
    <row r="338" ht="23.25" customHeight="1" x14ac:dyDescent="0.2"/>
    <row r="339" ht="23.25" customHeight="1" x14ac:dyDescent="0.2"/>
    <row r="340" ht="23.25" customHeight="1" x14ac:dyDescent="0.2"/>
    <row r="341" ht="23.25" customHeight="1" x14ac:dyDescent="0.2"/>
    <row r="342" ht="23.25" customHeight="1" x14ac:dyDescent="0.2"/>
    <row r="343" ht="23.25" customHeight="1" x14ac:dyDescent="0.2"/>
    <row r="344" ht="23.25" customHeight="1" x14ac:dyDescent="0.2"/>
    <row r="345" ht="23.25" customHeight="1" x14ac:dyDescent="0.2"/>
    <row r="346" ht="23.25" customHeight="1" x14ac:dyDescent="0.2"/>
    <row r="347" ht="23.25" customHeight="1" x14ac:dyDescent="0.2"/>
    <row r="348" ht="23.25" customHeight="1" x14ac:dyDescent="0.2"/>
    <row r="349" ht="23.25" customHeight="1" x14ac:dyDescent="0.2"/>
    <row r="350" ht="23.25" customHeight="1" x14ac:dyDescent="0.2"/>
    <row r="351" ht="23.25" customHeight="1" x14ac:dyDescent="0.2"/>
    <row r="352" ht="23.25" customHeight="1" x14ac:dyDescent="0.2"/>
    <row r="353" ht="23.25" customHeight="1" x14ac:dyDescent="0.2"/>
    <row r="354" ht="23.25" customHeight="1" x14ac:dyDescent="0.2"/>
    <row r="355" ht="23.25" customHeight="1" x14ac:dyDescent="0.2"/>
    <row r="356" ht="23.25" customHeight="1" x14ac:dyDescent="0.2"/>
    <row r="357" ht="23.25" customHeight="1" x14ac:dyDescent="0.2"/>
    <row r="358" ht="23.25" customHeight="1" x14ac:dyDescent="0.2"/>
    <row r="359" ht="23.25" customHeight="1" x14ac:dyDescent="0.2"/>
    <row r="360" ht="23.25" customHeight="1" x14ac:dyDescent="0.2"/>
    <row r="361" ht="23.25" customHeight="1" x14ac:dyDescent="0.2"/>
    <row r="362" ht="23.25" customHeight="1" x14ac:dyDescent="0.2"/>
    <row r="363" ht="23.25" customHeight="1" x14ac:dyDescent="0.2"/>
    <row r="364" ht="23.25" customHeight="1" x14ac:dyDescent="0.2"/>
    <row r="365" ht="23.25" customHeight="1" x14ac:dyDescent="0.2"/>
    <row r="366" ht="23.25" customHeight="1" x14ac:dyDescent="0.2"/>
    <row r="367" ht="23.25" customHeight="1" x14ac:dyDescent="0.2"/>
    <row r="368" ht="23.25" customHeight="1" x14ac:dyDescent="0.2"/>
    <row r="369" ht="23.25" customHeight="1" x14ac:dyDescent="0.2"/>
    <row r="370" ht="23.25" customHeight="1" x14ac:dyDescent="0.2"/>
    <row r="371" ht="23.25" customHeight="1" x14ac:dyDescent="0.2"/>
    <row r="372" ht="23.25" customHeight="1" x14ac:dyDescent="0.2"/>
    <row r="373" ht="23.25" customHeight="1" x14ac:dyDescent="0.2"/>
    <row r="374" ht="23.25" customHeight="1" x14ac:dyDescent="0.2"/>
    <row r="375" ht="23.25" customHeight="1" x14ac:dyDescent="0.2"/>
    <row r="376" ht="23.25" customHeight="1" x14ac:dyDescent="0.2"/>
    <row r="377" ht="23.25" customHeight="1" x14ac:dyDescent="0.2"/>
    <row r="378" ht="23.25" customHeight="1" x14ac:dyDescent="0.2"/>
    <row r="379" ht="23.25" customHeight="1" x14ac:dyDescent="0.2"/>
    <row r="380" ht="23.25" customHeight="1" x14ac:dyDescent="0.2"/>
    <row r="381" ht="23.25" customHeight="1" x14ac:dyDescent="0.2"/>
    <row r="382" ht="23.25" customHeight="1" x14ac:dyDescent="0.2"/>
    <row r="383" ht="23.25" customHeight="1" x14ac:dyDescent="0.2"/>
    <row r="384" ht="23.25" customHeight="1" x14ac:dyDescent="0.2"/>
    <row r="385" ht="23.25" customHeight="1" x14ac:dyDescent="0.2"/>
    <row r="386" ht="23.25" customHeight="1" x14ac:dyDescent="0.2"/>
    <row r="387" ht="23.25" customHeight="1" x14ac:dyDescent="0.2"/>
    <row r="388" ht="23.25" customHeight="1" x14ac:dyDescent="0.2"/>
    <row r="389" ht="23.25" customHeight="1" x14ac:dyDescent="0.2"/>
    <row r="390" ht="23.25" customHeight="1" x14ac:dyDescent="0.2"/>
    <row r="391" ht="23.25" customHeight="1" x14ac:dyDescent="0.2"/>
    <row r="392" ht="23.25" customHeight="1" x14ac:dyDescent="0.2"/>
    <row r="393" ht="23.25" customHeight="1" x14ac:dyDescent="0.2"/>
    <row r="394" ht="23.25" customHeight="1" x14ac:dyDescent="0.2"/>
    <row r="395" ht="23.25" customHeight="1" x14ac:dyDescent="0.2"/>
    <row r="396" ht="23.25" customHeight="1" x14ac:dyDescent="0.2"/>
    <row r="397" ht="23.25" customHeight="1" x14ac:dyDescent="0.2"/>
    <row r="398" ht="23.25" customHeight="1" x14ac:dyDescent="0.2"/>
    <row r="399" ht="23.25" customHeight="1" x14ac:dyDescent="0.2"/>
    <row r="400" ht="23.25" customHeight="1" x14ac:dyDescent="0.2"/>
    <row r="401" ht="23.25" customHeight="1" x14ac:dyDescent="0.2"/>
    <row r="402" ht="23.25" customHeight="1" x14ac:dyDescent="0.2"/>
    <row r="403" ht="23.25" customHeight="1" x14ac:dyDescent="0.2"/>
    <row r="404" ht="23.25" customHeight="1" x14ac:dyDescent="0.2"/>
    <row r="405" ht="23.25" customHeight="1" x14ac:dyDescent="0.2"/>
    <row r="406" ht="23.25" customHeight="1" x14ac:dyDescent="0.2"/>
    <row r="407" ht="23.25" customHeight="1" x14ac:dyDescent="0.2"/>
    <row r="408" ht="23.25" customHeight="1" x14ac:dyDescent="0.2"/>
    <row r="409" ht="23.25" customHeight="1" x14ac:dyDescent="0.2"/>
    <row r="410" ht="23.25" customHeight="1" x14ac:dyDescent="0.2"/>
    <row r="411" ht="23.25" customHeight="1" x14ac:dyDescent="0.2"/>
    <row r="412" ht="23.25" customHeight="1" x14ac:dyDescent="0.2"/>
    <row r="413" ht="23.25" customHeight="1" x14ac:dyDescent="0.2"/>
    <row r="414" ht="23.25" customHeight="1" x14ac:dyDescent="0.2"/>
    <row r="415" ht="23.25" customHeight="1" x14ac:dyDescent="0.2"/>
    <row r="416" ht="23.25" customHeight="1" x14ac:dyDescent="0.2"/>
    <row r="417" ht="23.25" customHeight="1" x14ac:dyDescent="0.2"/>
    <row r="418" ht="23.25" customHeight="1" x14ac:dyDescent="0.2"/>
    <row r="419" ht="23.25" customHeight="1" x14ac:dyDescent="0.2"/>
    <row r="420" ht="23.25" customHeight="1" x14ac:dyDescent="0.2"/>
    <row r="421" ht="23.25" customHeight="1" x14ac:dyDescent="0.2"/>
    <row r="422" ht="23.25" customHeight="1" x14ac:dyDescent="0.2"/>
    <row r="423" ht="23.25" customHeight="1" x14ac:dyDescent="0.2"/>
    <row r="424" ht="23.25" customHeight="1" x14ac:dyDescent="0.2"/>
    <row r="425" ht="23.25" customHeight="1" x14ac:dyDescent="0.2"/>
    <row r="426" ht="23.25" customHeight="1" x14ac:dyDescent="0.2"/>
    <row r="427" ht="23.25" customHeight="1" x14ac:dyDescent="0.2"/>
    <row r="428" ht="23.25" customHeight="1" x14ac:dyDescent="0.2"/>
    <row r="429" ht="23.25" customHeight="1" x14ac:dyDescent="0.2"/>
    <row r="430" ht="23.25" customHeight="1" x14ac:dyDescent="0.2"/>
    <row r="431" ht="23.25" customHeight="1" x14ac:dyDescent="0.2"/>
    <row r="432" ht="23.25" customHeight="1" x14ac:dyDescent="0.2"/>
    <row r="433" ht="23.25" customHeight="1" x14ac:dyDescent="0.2"/>
    <row r="434" ht="23.25" customHeight="1" x14ac:dyDescent="0.2"/>
    <row r="435" ht="23.25" customHeight="1" x14ac:dyDescent="0.2"/>
    <row r="436" ht="23.25" customHeight="1" x14ac:dyDescent="0.2"/>
    <row r="437" ht="23.25" customHeight="1" x14ac:dyDescent="0.2"/>
    <row r="438" ht="23.25" customHeight="1" x14ac:dyDescent="0.2"/>
    <row r="439" ht="23.25" customHeight="1" x14ac:dyDescent="0.2"/>
    <row r="440" ht="23.25" customHeight="1" x14ac:dyDescent="0.2"/>
    <row r="441" ht="23.25" customHeight="1" x14ac:dyDescent="0.2"/>
    <row r="442" ht="23.25" customHeight="1" x14ac:dyDescent="0.2"/>
    <row r="443" ht="23.25" customHeight="1" x14ac:dyDescent="0.2"/>
    <row r="444" ht="23.25" customHeight="1" x14ac:dyDescent="0.2"/>
    <row r="445" ht="23.25" customHeight="1" x14ac:dyDescent="0.2"/>
    <row r="446" ht="23.25" customHeight="1" x14ac:dyDescent="0.2"/>
    <row r="447" ht="23.25" customHeight="1" x14ac:dyDescent="0.2"/>
    <row r="448" ht="23.25" customHeight="1" x14ac:dyDescent="0.2"/>
    <row r="449" ht="23.25" customHeight="1" x14ac:dyDescent="0.2"/>
    <row r="450" ht="23.25" customHeight="1" x14ac:dyDescent="0.2"/>
    <row r="451" ht="23.25" customHeight="1" x14ac:dyDescent="0.2"/>
    <row r="452" ht="23.25" customHeight="1" x14ac:dyDescent="0.2"/>
    <row r="453" ht="23.25" customHeight="1" x14ac:dyDescent="0.2"/>
    <row r="454" ht="23.25" customHeight="1" x14ac:dyDescent="0.2"/>
    <row r="455" ht="23.25" customHeight="1" x14ac:dyDescent="0.2"/>
    <row r="456" ht="23.25" customHeight="1" x14ac:dyDescent="0.2"/>
    <row r="457" ht="23.25" customHeight="1" x14ac:dyDescent="0.2"/>
    <row r="458" ht="23.25" customHeight="1" x14ac:dyDescent="0.2"/>
    <row r="459" ht="23.25" customHeight="1" x14ac:dyDescent="0.2"/>
    <row r="460" ht="23.25" customHeight="1" x14ac:dyDescent="0.2"/>
    <row r="461" ht="23.25" customHeight="1" x14ac:dyDescent="0.2"/>
    <row r="462" ht="23.25" customHeight="1" x14ac:dyDescent="0.2"/>
    <row r="463" ht="23.25" customHeight="1" x14ac:dyDescent="0.2"/>
    <row r="464" ht="23.25" customHeight="1" x14ac:dyDescent="0.2"/>
    <row r="465" ht="23.25" customHeight="1" x14ac:dyDescent="0.2"/>
    <row r="466" ht="23.25" customHeight="1" x14ac:dyDescent="0.2"/>
    <row r="467" ht="23.25" customHeight="1" x14ac:dyDescent="0.2"/>
    <row r="468" ht="23.25" customHeight="1" x14ac:dyDescent="0.2"/>
    <row r="469" ht="23.25" customHeight="1" x14ac:dyDescent="0.2"/>
    <row r="470" ht="23.25" customHeight="1" x14ac:dyDescent="0.2"/>
    <row r="471" ht="23.25" customHeight="1" x14ac:dyDescent="0.2"/>
    <row r="472" ht="23.25" customHeight="1" x14ac:dyDescent="0.2"/>
    <row r="473" ht="23.25" customHeight="1" x14ac:dyDescent="0.2"/>
    <row r="474" ht="23.25" customHeight="1" x14ac:dyDescent="0.2"/>
    <row r="475" ht="23.25" customHeight="1" x14ac:dyDescent="0.2"/>
    <row r="476" ht="23.25" customHeight="1" x14ac:dyDescent="0.2"/>
    <row r="477" ht="23.25" customHeight="1" x14ac:dyDescent="0.2"/>
    <row r="478" ht="23.25" customHeight="1" x14ac:dyDescent="0.2"/>
    <row r="479" ht="23.25" customHeight="1" x14ac:dyDescent="0.2"/>
    <row r="480" ht="23.25" customHeight="1" x14ac:dyDescent="0.2"/>
    <row r="481" ht="23.25" customHeight="1" x14ac:dyDescent="0.2"/>
    <row r="482" ht="23.25" customHeight="1" x14ac:dyDescent="0.2"/>
    <row r="483" ht="23.25" customHeight="1" x14ac:dyDescent="0.2"/>
    <row r="484" ht="23.25" customHeight="1" x14ac:dyDescent="0.2"/>
    <row r="485" ht="23.25" customHeight="1" x14ac:dyDescent="0.2"/>
    <row r="486" ht="23.25" customHeight="1" x14ac:dyDescent="0.2"/>
    <row r="487" ht="23.25" customHeight="1" x14ac:dyDescent="0.2"/>
    <row r="488" ht="23.25" customHeight="1" x14ac:dyDescent="0.2"/>
    <row r="489" ht="23.25" customHeight="1" x14ac:dyDescent="0.2"/>
    <row r="490" ht="23.25" customHeight="1" x14ac:dyDescent="0.2"/>
    <row r="491" ht="23.25" customHeight="1" x14ac:dyDescent="0.2"/>
    <row r="492" ht="23.25" customHeight="1" x14ac:dyDescent="0.2"/>
    <row r="493" ht="23.25" customHeight="1" x14ac:dyDescent="0.2"/>
    <row r="494" ht="23.25" customHeight="1" x14ac:dyDescent="0.2"/>
    <row r="495" ht="23.25" customHeight="1" x14ac:dyDescent="0.2"/>
    <row r="496" ht="23.25" customHeight="1" x14ac:dyDescent="0.2"/>
    <row r="497" ht="23.25" customHeight="1" x14ac:dyDescent="0.2"/>
    <row r="498" ht="23.25" customHeight="1" x14ac:dyDescent="0.2"/>
    <row r="499" ht="23.25" customHeight="1" x14ac:dyDescent="0.2"/>
    <row r="500" ht="23.25" customHeight="1" x14ac:dyDescent="0.2"/>
    <row r="501" ht="23.25" customHeight="1" x14ac:dyDescent="0.2"/>
    <row r="502" ht="23.25" customHeight="1" x14ac:dyDescent="0.2"/>
    <row r="503" ht="23.25" customHeight="1" x14ac:dyDescent="0.2"/>
    <row r="504" ht="23.25" customHeight="1" x14ac:dyDescent="0.2"/>
    <row r="505" ht="23.25" customHeight="1" x14ac:dyDescent="0.2"/>
    <row r="506" ht="23.25" customHeight="1" x14ac:dyDescent="0.2"/>
    <row r="507" ht="23.25" customHeight="1" x14ac:dyDescent="0.2"/>
    <row r="508" ht="23.25" customHeight="1" x14ac:dyDescent="0.2"/>
    <row r="509" ht="23.25" customHeight="1" x14ac:dyDescent="0.2"/>
    <row r="510" ht="23.25" customHeight="1" x14ac:dyDescent="0.2"/>
    <row r="511" ht="23.25" customHeight="1" x14ac:dyDescent="0.2"/>
    <row r="512" ht="23.25" customHeight="1" x14ac:dyDescent="0.2"/>
    <row r="513" ht="23.25" customHeight="1" x14ac:dyDescent="0.2"/>
    <row r="514" ht="23.25" customHeight="1" x14ac:dyDescent="0.2"/>
    <row r="515" ht="23.25" customHeight="1" x14ac:dyDescent="0.2"/>
    <row r="516" ht="23.25" customHeight="1" x14ac:dyDescent="0.2"/>
    <row r="517" ht="23.25" customHeight="1" x14ac:dyDescent="0.2"/>
    <row r="518" ht="23.25" customHeight="1" x14ac:dyDescent="0.2"/>
    <row r="519" ht="23.25" customHeight="1" x14ac:dyDescent="0.2"/>
    <row r="520" ht="23.25" customHeight="1" x14ac:dyDescent="0.2"/>
    <row r="521" ht="23.25" customHeight="1" x14ac:dyDescent="0.2"/>
    <row r="522" ht="23.25" customHeight="1" x14ac:dyDescent="0.2"/>
    <row r="523" ht="23.25" customHeight="1" x14ac:dyDescent="0.2"/>
    <row r="524" ht="23.25" customHeight="1" x14ac:dyDescent="0.2"/>
    <row r="525" ht="23.25" customHeight="1" x14ac:dyDescent="0.2"/>
    <row r="526" ht="23.25" customHeight="1" x14ac:dyDescent="0.2"/>
    <row r="527" ht="23.25" customHeight="1" x14ac:dyDescent="0.2"/>
    <row r="528" ht="23.25" customHeight="1" x14ac:dyDescent="0.2"/>
    <row r="529" ht="23.25" customHeight="1" x14ac:dyDescent="0.2"/>
    <row r="530" ht="23.25" customHeight="1" x14ac:dyDescent="0.2"/>
    <row r="531" ht="23.25" customHeight="1" x14ac:dyDescent="0.2"/>
    <row r="532" ht="23.25" customHeight="1" x14ac:dyDescent="0.2"/>
    <row r="533" ht="23.25" customHeight="1" x14ac:dyDescent="0.2"/>
    <row r="534" ht="23.25" customHeight="1" x14ac:dyDescent="0.2"/>
    <row r="535" ht="23.25" customHeight="1" x14ac:dyDescent="0.2"/>
    <row r="536" ht="23.25" customHeight="1" x14ac:dyDescent="0.2"/>
    <row r="537" ht="23.25" customHeight="1" x14ac:dyDescent="0.2"/>
    <row r="538" ht="23.25" customHeight="1" x14ac:dyDescent="0.2"/>
    <row r="539" ht="23.25" customHeight="1" x14ac:dyDescent="0.2"/>
    <row r="540" ht="23.25" customHeight="1" x14ac:dyDescent="0.2"/>
    <row r="541" ht="23.25" customHeight="1" x14ac:dyDescent="0.2"/>
    <row r="542" ht="23.25" customHeight="1" x14ac:dyDescent="0.2"/>
    <row r="543" ht="23.25" customHeight="1" x14ac:dyDescent="0.2"/>
    <row r="544" ht="23.25" customHeight="1" x14ac:dyDescent="0.2"/>
    <row r="545" ht="23.25" customHeight="1" x14ac:dyDescent="0.2"/>
    <row r="546" ht="23.25" customHeight="1" x14ac:dyDescent="0.2"/>
    <row r="547" ht="23.25" customHeight="1" x14ac:dyDescent="0.2"/>
    <row r="548" ht="23.25" customHeight="1" x14ac:dyDescent="0.2"/>
    <row r="549" ht="23.25" customHeight="1" x14ac:dyDescent="0.2"/>
    <row r="550" ht="23.25" customHeight="1" x14ac:dyDescent="0.2"/>
    <row r="551" ht="23.25" customHeight="1" x14ac:dyDescent="0.2"/>
    <row r="552" ht="23.25" customHeight="1" x14ac:dyDescent="0.2"/>
    <row r="553" ht="23.25" customHeight="1" x14ac:dyDescent="0.2"/>
    <row r="554" ht="23.25" customHeight="1" x14ac:dyDescent="0.2"/>
    <row r="555" ht="23.25" customHeight="1" x14ac:dyDescent="0.2"/>
    <row r="556" ht="23.25" customHeight="1" x14ac:dyDescent="0.2"/>
    <row r="557" ht="23.25" customHeight="1" x14ac:dyDescent="0.2"/>
    <row r="558" ht="23.25" customHeight="1" x14ac:dyDescent="0.2"/>
    <row r="559" ht="23.25" customHeight="1" x14ac:dyDescent="0.2"/>
    <row r="560" ht="23.25" customHeight="1" x14ac:dyDescent="0.2"/>
    <row r="561" ht="23.25" customHeight="1" x14ac:dyDescent="0.2"/>
    <row r="562" ht="23.25" customHeight="1" x14ac:dyDescent="0.2"/>
    <row r="563" ht="23.25" customHeight="1" x14ac:dyDescent="0.2"/>
    <row r="564" ht="23.25" customHeight="1" x14ac:dyDescent="0.2"/>
    <row r="565" ht="23.25" customHeight="1" x14ac:dyDescent="0.2"/>
    <row r="566" ht="23.25" customHeight="1" x14ac:dyDescent="0.2"/>
    <row r="567" ht="23.25" customHeight="1" x14ac:dyDescent="0.2"/>
    <row r="568" ht="23.25" customHeight="1" x14ac:dyDescent="0.2"/>
    <row r="569" ht="23.25" customHeight="1" x14ac:dyDescent="0.2"/>
    <row r="570" ht="23.25" customHeight="1" x14ac:dyDescent="0.2"/>
    <row r="571" ht="23.25" customHeight="1" x14ac:dyDescent="0.2"/>
    <row r="572" ht="23.25" customHeight="1" x14ac:dyDescent="0.2"/>
    <row r="573" ht="23.25" customHeight="1" x14ac:dyDescent="0.2"/>
    <row r="574" ht="23.25" customHeight="1" x14ac:dyDescent="0.2"/>
    <row r="575" ht="23.25" customHeight="1" x14ac:dyDescent="0.2"/>
    <row r="576" ht="23.25" customHeight="1" x14ac:dyDescent="0.2"/>
    <row r="577" ht="23.25" customHeight="1" x14ac:dyDescent="0.2"/>
    <row r="578" ht="23.25" customHeight="1" x14ac:dyDescent="0.2"/>
    <row r="579" ht="23.25" customHeight="1" x14ac:dyDescent="0.2"/>
    <row r="580" ht="23.25" customHeight="1" x14ac:dyDescent="0.2"/>
    <row r="581" ht="23.25" customHeight="1" x14ac:dyDescent="0.2"/>
    <row r="582" ht="23.25" customHeight="1" x14ac:dyDescent="0.2"/>
    <row r="583" ht="23.25" customHeight="1" x14ac:dyDescent="0.2"/>
    <row r="584" ht="23.25" customHeight="1" x14ac:dyDescent="0.2"/>
    <row r="585" ht="23.25" customHeight="1" x14ac:dyDescent="0.2"/>
    <row r="586" ht="23.25" customHeight="1" x14ac:dyDescent="0.2"/>
    <row r="587" ht="23.25" customHeight="1" x14ac:dyDescent="0.2"/>
    <row r="588" ht="23.25" customHeight="1" x14ac:dyDescent="0.2"/>
    <row r="589" ht="23.25" customHeight="1" x14ac:dyDescent="0.2"/>
    <row r="590" ht="23.25" customHeight="1" x14ac:dyDescent="0.2"/>
    <row r="591" ht="23.25" customHeight="1" x14ac:dyDescent="0.2"/>
    <row r="592" ht="23.25" customHeight="1" x14ac:dyDescent="0.2"/>
    <row r="593" ht="23.25" customHeight="1" x14ac:dyDescent="0.2"/>
    <row r="594" ht="23.25" customHeight="1" x14ac:dyDescent="0.2"/>
    <row r="595" ht="23.25" customHeight="1" x14ac:dyDescent="0.2"/>
    <row r="596" ht="23.25" customHeight="1" x14ac:dyDescent="0.2"/>
    <row r="597" ht="23.25" customHeight="1" x14ac:dyDescent="0.2"/>
    <row r="598" ht="23.25" customHeight="1" x14ac:dyDescent="0.2"/>
    <row r="599" ht="23.25" customHeight="1" x14ac:dyDescent="0.2"/>
    <row r="600" ht="23.25" customHeight="1" x14ac:dyDescent="0.2"/>
    <row r="601" ht="23.25" customHeight="1" x14ac:dyDescent="0.2"/>
    <row r="602" ht="23.25" customHeight="1" x14ac:dyDescent="0.2"/>
    <row r="603" ht="23.25" customHeight="1" x14ac:dyDescent="0.2"/>
    <row r="604" ht="23.25" customHeight="1" x14ac:dyDescent="0.2"/>
    <row r="605" ht="23.25" customHeight="1" x14ac:dyDescent="0.2"/>
    <row r="606" ht="23.25" customHeight="1" x14ac:dyDescent="0.2"/>
    <row r="607" ht="23.25" customHeight="1" x14ac:dyDescent="0.2"/>
    <row r="608" ht="23.25" customHeight="1" x14ac:dyDescent="0.2"/>
    <row r="609" ht="23.25" customHeight="1" x14ac:dyDescent="0.2"/>
    <row r="610" ht="23.25" customHeight="1" x14ac:dyDescent="0.2"/>
    <row r="611" ht="23.25" customHeight="1" x14ac:dyDescent="0.2"/>
    <row r="612" ht="23.25" customHeight="1" x14ac:dyDescent="0.2"/>
    <row r="613" ht="23.25" customHeight="1" x14ac:dyDescent="0.2"/>
    <row r="614" ht="23.25" customHeight="1" x14ac:dyDescent="0.2"/>
    <row r="615" ht="23.25" customHeight="1" x14ac:dyDescent="0.2"/>
    <row r="616" ht="23.25" customHeight="1" x14ac:dyDescent="0.2"/>
    <row r="617" ht="23.25" customHeight="1" x14ac:dyDescent="0.2"/>
    <row r="618" ht="23.25" customHeight="1" x14ac:dyDescent="0.2"/>
    <row r="619" ht="23.25" customHeight="1" x14ac:dyDescent="0.2"/>
    <row r="620" ht="23.25" customHeight="1" x14ac:dyDescent="0.2"/>
    <row r="621" ht="23.25" customHeight="1" x14ac:dyDescent="0.2"/>
    <row r="622" ht="23.25" customHeight="1" x14ac:dyDescent="0.2"/>
    <row r="623" ht="23.25" customHeight="1" x14ac:dyDescent="0.2"/>
    <row r="624" ht="23.25" customHeight="1" x14ac:dyDescent="0.2"/>
    <row r="625" ht="23.25" customHeight="1" x14ac:dyDescent="0.2"/>
    <row r="626" ht="23.25" customHeight="1" x14ac:dyDescent="0.2"/>
    <row r="627" ht="23.25" customHeight="1" x14ac:dyDescent="0.2"/>
    <row r="628" ht="23.25" customHeight="1" x14ac:dyDescent="0.2"/>
    <row r="629" ht="23.25" customHeight="1" x14ac:dyDescent="0.2"/>
    <row r="630" ht="23.25" customHeight="1" x14ac:dyDescent="0.2"/>
    <row r="631" ht="23.25" customHeight="1" x14ac:dyDescent="0.2"/>
    <row r="632" ht="23.25" customHeight="1" x14ac:dyDescent="0.2"/>
    <row r="633" ht="23.25" customHeight="1" x14ac:dyDescent="0.2"/>
    <row r="634" ht="23.25" customHeight="1" x14ac:dyDescent="0.2"/>
    <row r="635" ht="23.25" customHeight="1" x14ac:dyDescent="0.2"/>
    <row r="636" ht="23.25" customHeight="1" x14ac:dyDescent="0.2"/>
    <row r="637" ht="23.25" customHeight="1" x14ac:dyDescent="0.2"/>
    <row r="638" ht="23.25" customHeight="1" x14ac:dyDescent="0.2"/>
    <row r="639" ht="23.25" customHeight="1" x14ac:dyDescent="0.2"/>
    <row r="640" ht="23.25" customHeight="1" x14ac:dyDescent="0.2"/>
    <row r="641" ht="23.25" customHeight="1" x14ac:dyDescent="0.2"/>
    <row r="642" ht="23.25" customHeight="1" x14ac:dyDescent="0.2"/>
    <row r="643" ht="23.25" customHeight="1" x14ac:dyDescent="0.2"/>
    <row r="644" ht="23.25" customHeight="1" x14ac:dyDescent="0.2"/>
    <row r="645" ht="23.25" customHeight="1" x14ac:dyDescent="0.2"/>
    <row r="646" ht="23.25" customHeight="1" x14ac:dyDescent="0.2"/>
    <row r="647" ht="23.25" customHeight="1" x14ac:dyDescent="0.2"/>
    <row r="648" ht="23.25" customHeight="1" x14ac:dyDescent="0.2"/>
    <row r="649" ht="23.25" customHeight="1" x14ac:dyDescent="0.2"/>
    <row r="650" ht="23.25" customHeight="1" x14ac:dyDescent="0.2"/>
    <row r="651" ht="23.25" customHeight="1" x14ac:dyDescent="0.2"/>
    <row r="652" ht="23.25" customHeight="1" x14ac:dyDescent="0.2"/>
    <row r="653" ht="23.25" customHeight="1" x14ac:dyDescent="0.2"/>
    <row r="654" ht="23.25" customHeight="1" x14ac:dyDescent="0.2"/>
    <row r="655" ht="23.25" customHeight="1" x14ac:dyDescent="0.2"/>
    <row r="656" ht="23.25" customHeight="1" x14ac:dyDescent="0.2"/>
    <row r="657" ht="23.25" customHeight="1" x14ac:dyDescent="0.2"/>
    <row r="658" ht="23.25" customHeight="1" x14ac:dyDescent="0.2"/>
    <row r="659" ht="23.25" customHeight="1" x14ac:dyDescent="0.2"/>
    <row r="660" ht="23.25" customHeight="1" x14ac:dyDescent="0.2"/>
    <row r="661" ht="23.25" customHeight="1" x14ac:dyDescent="0.2"/>
    <row r="662" ht="23.25" customHeight="1" x14ac:dyDescent="0.2"/>
    <row r="663" ht="23.25" customHeight="1" x14ac:dyDescent="0.2"/>
    <row r="664" ht="23.25" customHeight="1" x14ac:dyDescent="0.2"/>
    <row r="665" ht="23.25" customHeight="1" x14ac:dyDescent="0.2"/>
    <row r="666" ht="23.25" customHeight="1" x14ac:dyDescent="0.2"/>
    <row r="667" ht="23.25" customHeight="1" x14ac:dyDescent="0.2"/>
    <row r="668" ht="23.25" customHeight="1" x14ac:dyDescent="0.2"/>
    <row r="669" ht="23.25" customHeight="1" x14ac:dyDescent="0.2"/>
    <row r="670" ht="23.25" customHeight="1" x14ac:dyDescent="0.2"/>
    <row r="671" ht="23.25" customHeight="1" x14ac:dyDescent="0.2"/>
    <row r="672" ht="23.25" customHeight="1" x14ac:dyDescent="0.2"/>
    <row r="673" ht="23.25" customHeight="1" x14ac:dyDescent="0.2"/>
    <row r="674" ht="23.25" customHeight="1" x14ac:dyDescent="0.2"/>
    <row r="675" ht="23.25" customHeight="1" x14ac:dyDescent="0.2"/>
    <row r="676" ht="23.25" customHeight="1" x14ac:dyDescent="0.2"/>
    <row r="677" ht="23.25" customHeight="1" x14ac:dyDescent="0.2"/>
    <row r="678" ht="23.25" customHeight="1" x14ac:dyDescent="0.2"/>
    <row r="679" ht="23.25" customHeight="1" x14ac:dyDescent="0.2"/>
    <row r="680" ht="23.25" customHeight="1" x14ac:dyDescent="0.2"/>
    <row r="681" ht="23.25" customHeight="1" x14ac:dyDescent="0.2"/>
    <row r="682" ht="23.25" customHeight="1" x14ac:dyDescent="0.2"/>
    <row r="683" ht="23.25" customHeight="1" x14ac:dyDescent="0.2"/>
    <row r="684" ht="23.25" customHeight="1" x14ac:dyDescent="0.2"/>
    <row r="685" ht="23.25" customHeight="1" x14ac:dyDescent="0.2"/>
    <row r="686" ht="23.25" customHeight="1" x14ac:dyDescent="0.2"/>
    <row r="687" ht="23.25" customHeight="1" x14ac:dyDescent="0.2"/>
    <row r="688" ht="23.25" customHeight="1" x14ac:dyDescent="0.2"/>
    <row r="689" ht="23.25" customHeight="1" x14ac:dyDescent="0.2"/>
    <row r="690" ht="23.25" customHeight="1" x14ac:dyDescent="0.2"/>
    <row r="691" ht="23.25" customHeight="1" x14ac:dyDescent="0.2"/>
    <row r="692" ht="23.25" customHeight="1" x14ac:dyDescent="0.2"/>
    <row r="693" ht="23.25" customHeight="1" x14ac:dyDescent="0.2"/>
    <row r="694" ht="23.25" customHeight="1" x14ac:dyDescent="0.2"/>
    <row r="695" ht="23.25" customHeight="1" x14ac:dyDescent="0.2"/>
    <row r="696" ht="23.25" customHeight="1" x14ac:dyDescent="0.2"/>
    <row r="697" ht="23.25" customHeight="1" x14ac:dyDescent="0.2"/>
    <row r="698" ht="23.25" customHeight="1" x14ac:dyDescent="0.2"/>
    <row r="699" ht="23.25" customHeight="1" x14ac:dyDescent="0.2"/>
    <row r="700" ht="23.25" customHeight="1" x14ac:dyDescent="0.2"/>
    <row r="701" ht="23.25" customHeight="1" x14ac:dyDescent="0.2"/>
    <row r="702" ht="23.25" customHeight="1" x14ac:dyDescent="0.2"/>
    <row r="703" ht="23.25" customHeight="1" x14ac:dyDescent="0.2"/>
    <row r="704" ht="23.25" customHeight="1" x14ac:dyDescent="0.2"/>
    <row r="705" ht="23.25" customHeight="1" x14ac:dyDescent="0.2"/>
    <row r="706" ht="23.25" customHeight="1" x14ac:dyDescent="0.2"/>
    <row r="707" ht="23.25" customHeight="1" x14ac:dyDescent="0.2"/>
    <row r="708" ht="23.25" customHeight="1" x14ac:dyDescent="0.2"/>
    <row r="709" ht="23.25" customHeight="1" x14ac:dyDescent="0.2"/>
    <row r="710" ht="23.25" customHeight="1" x14ac:dyDescent="0.2"/>
    <row r="711" ht="23.25" customHeight="1" x14ac:dyDescent="0.2"/>
    <row r="712" ht="23.25" customHeight="1" x14ac:dyDescent="0.2"/>
    <row r="713" ht="23.25" customHeight="1" x14ac:dyDescent="0.2"/>
    <row r="714" ht="23.25" customHeight="1" x14ac:dyDescent="0.2"/>
    <row r="715" ht="23.25" customHeight="1" x14ac:dyDescent="0.2"/>
    <row r="716" ht="23.25" customHeight="1" x14ac:dyDescent="0.2"/>
    <row r="717" ht="23.25" customHeight="1" x14ac:dyDescent="0.2"/>
    <row r="718" ht="23.25" customHeight="1" x14ac:dyDescent="0.2"/>
    <row r="719" ht="23.25" customHeight="1" x14ac:dyDescent="0.2"/>
    <row r="720" ht="23.25" customHeight="1" x14ac:dyDescent="0.2"/>
    <row r="721" ht="23.25" customHeight="1" x14ac:dyDescent="0.2"/>
    <row r="722" ht="23.25" customHeight="1" x14ac:dyDescent="0.2"/>
    <row r="723" ht="23.25" customHeight="1" x14ac:dyDescent="0.2"/>
    <row r="724" ht="23.25" customHeight="1" x14ac:dyDescent="0.2"/>
    <row r="725" ht="23.25" customHeight="1" x14ac:dyDescent="0.2"/>
    <row r="726" ht="23.25" customHeight="1" x14ac:dyDescent="0.2"/>
    <row r="727" ht="23.25" customHeight="1" x14ac:dyDescent="0.2"/>
    <row r="728" ht="23.25" customHeight="1" x14ac:dyDescent="0.2"/>
    <row r="729" ht="23.25" customHeight="1" x14ac:dyDescent="0.2"/>
    <row r="730" ht="23.25" customHeight="1" x14ac:dyDescent="0.2"/>
    <row r="731" ht="23.25" customHeight="1" x14ac:dyDescent="0.2"/>
    <row r="732" ht="23.25" customHeight="1" x14ac:dyDescent="0.2"/>
    <row r="733" ht="23.25" customHeight="1" x14ac:dyDescent="0.2"/>
    <row r="734" ht="23.25" customHeight="1" x14ac:dyDescent="0.2"/>
    <row r="735" ht="23.25" customHeight="1" x14ac:dyDescent="0.2"/>
    <row r="736" ht="23.25" customHeight="1" x14ac:dyDescent="0.2"/>
    <row r="737" ht="23.25" customHeight="1" x14ac:dyDescent="0.2"/>
    <row r="738" ht="23.25" customHeight="1" x14ac:dyDescent="0.2"/>
    <row r="739" ht="23.25" customHeight="1" x14ac:dyDescent="0.2"/>
    <row r="740" ht="23.25" customHeight="1" x14ac:dyDescent="0.2"/>
    <row r="741" ht="23.25" customHeight="1" x14ac:dyDescent="0.2"/>
    <row r="742" ht="23.25" customHeight="1" x14ac:dyDescent="0.2"/>
    <row r="743" ht="23.25" customHeight="1" x14ac:dyDescent="0.2"/>
    <row r="744" ht="23.25" customHeight="1" x14ac:dyDescent="0.2"/>
    <row r="745" ht="23.25" customHeight="1" x14ac:dyDescent="0.2"/>
    <row r="746" ht="23.25" customHeight="1" x14ac:dyDescent="0.2"/>
    <row r="747" ht="23.25" customHeight="1" x14ac:dyDescent="0.2"/>
    <row r="748" ht="23.25" customHeight="1" x14ac:dyDescent="0.2"/>
    <row r="749" ht="23.25" customHeight="1" x14ac:dyDescent="0.2"/>
    <row r="750" ht="23.25" customHeight="1" x14ac:dyDescent="0.2"/>
    <row r="751" ht="23.25" customHeight="1" x14ac:dyDescent="0.2"/>
    <row r="752" ht="23.25" customHeight="1" x14ac:dyDescent="0.2"/>
    <row r="753" ht="23.25" customHeight="1" x14ac:dyDescent="0.2"/>
    <row r="754" ht="23.25" customHeight="1" x14ac:dyDescent="0.2"/>
    <row r="755" ht="23.25" customHeight="1" x14ac:dyDescent="0.2"/>
    <row r="756" ht="23.25" customHeight="1" x14ac:dyDescent="0.2"/>
    <row r="757" ht="23.25" customHeight="1" x14ac:dyDescent="0.2"/>
    <row r="758" ht="23.25" customHeight="1" x14ac:dyDescent="0.2"/>
    <row r="759" ht="23.25" customHeight="1" x14ac:dyDescent="0.2"/>
    <row r="760" ht="23.25" customHeight="1" x14ac:dyDescent="0.2"/>
    <row r="761" ht="23.25" customHeight="1" x14ac:dyDescent="0.2"/>
    <row r="762" ht="23.25" customHeight="1" x14ac:dyDescent="0.2"/>
    <row r="763" ht="23.25" customHeight="1" x14ac:dyDescent="0.2"/>
    <row r="764" ht="23.25" customHeight="1" x14ac:dyDescent="0.2"/>
    <row r="765" ht="23.25" customHeight="1" x14ac:dyDescent="0.2"/>
    <row r="766" ht="23.25" customHeight="1" x14ac:dyDescent="0.2"/>
    <row r="767" ht="23.25" customHeight="1" x14ac:dyDescent="0.2"/>
    <row r="768" ht="23.25" customHeight="1" x14ac:dyDescent="0.2"/>
    <row r="769" ht="23.25" customHeight="1" x14ac:dyDescent="0.2"/>
    <row r="770" ht="23.25" customHeight="1" x14ac:dyDescent="0.2"/>
    <row r="771" ht="23.25" customHeight="1" x14ac:dyDescent="0.2"/>
    <row r="772" ht="23.25" customHeight="1" x14ac:dyDescent="0.2"/>
    <row r="773" ht="23.25" customHeight="1" x14ac:dyDescent="0.2"/>
    <row r="774" ht="23.25" customHeight="1" x14ac:dyDescent="0.2"/>
    <row r="775" ht="23.25" customHeight="1" x14ac:dyDescent="0.2"/>
    <row r="776" ht="23.25" customHeight="1" x14ac:dyDescent="0.2"/>
    <row r="777" ht="23.25" customHeight="1" x14ac:dyDescent="0.2"/>
    <row r="778" ht="23.25" customHeight="1" x14ac:dyDescent="0.2"/>
    <row r="779" ht="23.25" customHeight="1" x14ac:dyDescent="0.2"/>
    <row r="780" ht="23.25" customHeight="1" x14ac:dyDescent="0.2"/>
    <row r="781" ht="23.25" customHeight="1" x14ac:dyDescent="0.2"/>
    <row r="782" ht="23.25" customHeight="1" x14ac:dyDescent="0.2"/>
    <row r="783" ht="23.25" customHeight="1" x14ac:dyDescent="0.2"/>
    <row r="784" ht="23.25" customHeight="1" x14ac:dyDescent="0.2"/>
    <row r="785" ht="23.25" customHeight="1" x14ac:dyDescent="0.2"/>
    <row r="786" ht="23.25" customHeight="1" x14ac:dyDescent="0.2"/>
    <row r="787" ht="23.25" customHeight="1" x14ac:dyDescent="0.2"/>
    <row r="788" ht="23.25" customHeight="1" x14ac:dyDescent="0.2"/>
    <row r="789" ht="23.25" customHeight="1" x14ac:dyDescent="0.2"/>
    <row r="790" ht="23.25" customHeight="1" x14ac:dyDescent="0.2"/>
    <row r="791" ht="23.25" customHeight="1" x14ac:dyDescent="0.2"/>
    <row r="792" ht="23.25" customHeight="1" x14ac:dyDescent="0.2"/>
    <row r="793" ht="23.25" customHeight="1" x14ac:dyDescent="0.2"/>
    <row r="794" ht="23.25" customHeight="1" x14ac:dyDescent="0.2"/>
    <row r="795" ht="23.25" customHeight="1" x14ac:dyDescent="0.2"/>
    <row r="796" ht="23.25" customHeight="1" x14ac:dyDescent="0.2"/>
    <row r="797" ht="23.25" customHeight="1" x14ac:dyDescent="0.2"/>
    <row r="798" ht="23.25" customHeight="1" x14ac:dyDescent="0.2"/>
    <row r="799" ht="23.25" customHeight="1" x14ac:dyDescent="0.2"/>
    <row r="800" ht="23.25" customHeight="1" x14ac:dyDescent="0.2"/>
    <row r="801" ht="23.25" customHeight="1" x14ac:dyDescent="0.2"/>
    <row r="802" ht="23.25" customHeight="1" x14ac:dyDescent="0.2"/>
    <row r="803" ht="23.25" customHeight="1" x14ac:dyDescent="0.2"/>
    <row r="804" ht="23.25" customHeight="1" x14ac:dyDescent="0.2"/>
    <row r="805" ht="23.25" customHeight="1" x14ac:dyDescent="0.2"/>
    <row r="806" ht="23.25" customHeight="1" x14ac:dyDescent="0.2"/>
    <row r="807" ht="23.25" customHeight="1" x14ac:dyDescent="0.2"/>
    <row r="808" ht="23.25" customHeight="1" x14ac:dyDescent="0.2"/>
    <row r="809" ht="23.25" customHeight="1" x14ac:dyDescent="0.2"/>
    <row r="810" ht="23.25" customHeight="1" x14ac:dyDescent="0.2"/>
    <row r="811" ht="23.25" customHeight="1" x14ac:dyDescent="0.2"/>
    <row r="812" ht="23.25" customHeight="1" x14ac:dyDescent="0.2"/>
    <row r="813" ht="23.25" customHeight="1" x14ac:dyDescent="0.2"/>
    <row r="814" ht="23.25" customHeight="1" x14ac:dyDescent="0.2"/>
    <row r="815" ht="23.25" customHeight="1" x14ac:dyDescent="0.2"/>
    <row r="816" ht="23.25" customHeight="1" x14ac:dyDescent="0.2"/>
    <row r="817" ht="23.25" customHeight="1" x14ac:dyDescent="0.2"/>
    <row r="818" ht="23.25" customHeight="1" x14ac:dyDescent="0.2"/>
    <row r="819" ht="23.25" customHeight="1" x14ac:dyDescent="0.2"/>
    <row r="820" ht="23.25" customHeight="1" x14ac:dyDescent="0.2"/>
    <row r="821" ht="23.25" customHeight="1" x14ac:dyDescent="0.2"/>
    <row r="822" ht="23.25" customHeight="1" x14ac:dyDescent="0.2"/>
    <row r="823" ht="23.25" customHeight="1" x14ac:dyDescent="0.2"/>
    <row r="824" ht="23.25" customHeight="1" x14ac:dyDescent="0.2"/>
    <row r="825" ht="23.25" customHeight="1" x14ac:dyDescent="0.2"/>
    <row r="826" ht="23.25" customHeight="1" x14ac:dyDescent="0.2"/>
    <row r="827" ht="23.25" customHeight="1" x14ac:dyDescent="0.2"/>
    <row r="828" ht="23.25" customHeight="1" x14ac:dyDescent="0.2"/>
    <row r="829" ht="23.25" customHeight="1" x14ac:dyDescent="0.2"/>
    <row r="830" ht="23.25" customHeight="1" x14ac:dyDescent="0.2"/>
    <row r="831" ht="23.25" customHeight="1" x14ac:dyDescent="0.2"/>
    <row r="832" ht="23.25" customHeight="1" x14ac:dyDescent="0.2"/>
    <row r="833" ht="23.25" customHeight="1" x14ac:dyDescent="0.2"/>
    <row r="834" ht="23.25" customHeight="1" x14ac:dyDescent="0.2"/>
    <row r="835" ht="23.25" customHeight="1" x14ac:dyDescent="0.2"/>
    <row r="836" ht="23.25" customHeight="1" x14ac:dyDescent="0.2"/>
    <row r="837" ht="23.25" customHeight="1" x14ac:dyDescent="0.2"/>
    <row r="838" ht="23.25" customHeight="1" x14ac:dyDescent="0.2"/>
    <row r="839" ht="23.25" customHeight="1" x14ac:dyDescent="0.2"/>
    <row r="840" ht="23.25" customHeight="1" x14ac:dyDescent="0.2"/>
    <row r="841" ht="23.25" customHeight="1" x14ac:dyDescent="0.2"/>
    <row r="842" ht="23.25" customHeight="1" x14ac:dyDescent="0.2"/>
    <row r="843" ht="23.25" customHeight="1" x14ac:dyDescent="0.2"/>
    <row r="844" ht="23.25" customHeight="1" x14ac:dyDescent="0.2"/>
    <row r="845" ht="23.25" customHeight="1" x14ac:dyDescent="0.2"/>
    <row r="846" ht="23.25" customHeight="1" x14ac:dyDescent="0.2"/>
    <row r="847" ht="23.25" customHeight="1" x14ac:dyDescent="0.2"/>
    <row r="848" ht="23.25" customHeight="1" x14ac:dyDescent="0.2"/>
    <row r="849" ht="23.25" customHeight="1" x14ac:dyDescent="0.2"/>
    <row r="850" ht="23.25" customHeight="1" x14ac:dyDescent="0.2"/>
    <row r="851" ht="23.25" customHeight="1" x14ac:dyDescent="0.2"/>
    <row r="852" ht="23.25" customHeight="1" x14ac:dyDescent="0.2"/>
    <row r="853" ht="23.25" customHeight="1" x14ac:dyDescent="0.2"/>
    <row r="854" ht="23.25" customHeight="1" x14ac:dyDescent="0.2"/>
    <row r="855" ht="23.25" customHeight="1" x14ac:dyDescent="0.2"/>
    <row r="856" ht="23.25" customHeight="1" x14ac:dyDescent="0.2"/>
    <row r="857" ht="23.25" customHeight="1" x14ac:dyDescent="0.2"/>
    <row r="858" ht="23.25" customHeight="1" x14ac:dyDescent="0.2"/>
    <row r="859" ht="23.25" customHeight="1" x14ac:dyDescent="0.2"/>
    <row r="860" ht="23.25" customHeight="1" x14ac:dyDescent="0.2"/>
    <row r="861" ht="23.25" customHeight="1" x14ac:dyDescent="0.2"/>
    <row r="862" ht="23.25" customHeight="1" x14ac:dyDescent="0.2"/>
    <row r="863" ht="23.25" customHeight="1" x14ac:dyDescent="0.2"/>
    <row r="864" ht="23.25" customHeight="1" x14ac:dyDescent="0.2"/>
    <row r="865" ht="23.25" customHeight="1" x14ac:dyDescent="0.2"/>
    <row r="866" ht="23.25" customHeight="1" x14ac:dyDescent="0.2"/>
    <row r="867" ht="23.25" customHeight="1" x14ac:dyDescent="0.2"/>
    <row r="868" ht="23.25" customHeight="1" x14ac:dyDescent="0.2"/>
    <row r="869" ht="23.25" customHeight="1" x14ac:dyDescent="0.2"/>
    <row r="870" ht="23.25" customHeight="1" x14ac:dyDescent="0.2"/>
    <row r="871" ht="23.25" customHeight="1" x14ac:dyDescent="0.2"/>
    <row r="872" ht="23.25" customHeight="1" x14ac:dyDescent="0.2"/>
    <row r="873" ht="23.25" customHeight="1" x14ac:dyDescent="0.2"/>
    <row r="874" ht="23.25" customHeight="1" x14ac:dyDescent="0.2"/>
    <row r="875" ht="23.25" customHeight="1" x14ac:dyDescent="0.2"/>
    <row r="876" ht="23.25" customHeight="1" x14ac:dyDescent="0.2"/>
    <row r="877" ht="23.25" customHeight="1" x14ac:dyDescent="0.2"/>
    <row r="878" ht="23.25" customHeight="1" x14ac:dyDescent="0.2"/>
    <row r="879" ht="23.25" customHeight="1" x14ac:dyDescent="0.2"/>
    <row r="880" ht="23.25" customHeight="1" x14ac:dyDescent="0.2"/>
    <row r="881" ht="23.25" customHeight="1" x14ac:dyDescent="0.2"/>
    <row r="882" ht="23.25" customHeight="1" x14ac:dyDescent="0.2"/>
    <row r="883" ht="23.25" customHeight="1" x14ac:dyDescent="0.2"/>
    <row r="884" ht="23.25" customHeight="1" x14ac:dyDescent="0.2"/>
    <row r="885" ht="23.25" customHeight="1" x14ac:dyDescent="0.2"/>
    <row r="886" ht="23.25" customHeight="1" x14ac:dyDescent="0.2"/>
    <row r="887" ht="23.25" customHeight="1" x14ac:dyDescent="0.2"/>
    <row r="888" ht="23.25" customHeight="1" x14ac:dyDescent="0.2"/>
    <row r="889" ht="23.25" customHeight="1" x14ac:dyDescent="0.2"/>
    <row r="890" ht="23.25" customHeight="1" x14ac:dyDescent="0.2"/>
    <row r="891" ht="23.25" customHeight="1" x14ac:dyDescent="0.2"/>
    <row r="892" ht="23.25" customHeight="1" x14ac:dyDescent="0.2"/>
    <row r="893" ht="23.25" customHeight="1" x14ac:dyDescent="0.2"/>
    <row r="894" ht="23.25" customHeight="1" x14ac:dyDescent="0.2"/>
    <row r="895" ht="23.25" customHeight="1" x14ac:dyDescent="0.2"/>
    <row r="896" ht="23.25" customHeight="1" x14ac:dyDescent="0.2"/>
    <row r="897" ht="23.25" customHeight="1" x14ac:dyDescent="0.2"/>
    <row r="898" ht="23.25" customHeight="1" x14ac:dyDescent="0.2"/>
    <row r="899" ht="23.25" customHeight="1" x14ac:dyDescent="0.2"/>
    <row r="900" ht="23.25" customHeight="1" x14ac:dyDescent="0.2"/>
    <row r="901" ht="23.25" customHeight="1" x14ac:dyDescent="0.2"/>
    <row r="902" ht="23.25" customHeight="1" x14ac:dyDescent="0.2"/>
    <row r="903" ht="23.25" customHeight="1" x14ac:dyDescent="0.2"/>
    <row r="904" ht="23.25" customHeight="1" x14ac:dyDescent="0.2"/>
    <row r="905" ht="23.25" customHeight="1" x14ac:dyDescent="0.2"/>
    <row r="906" ht="23.25" customHeight="1" x14ac:dyDescent="0.2"/>
    <row r="907" ht="23.25" customHeight="1" x14ac:dyDescent="0.2"/>
    <row r="908" ht="23.25" customHeight="1" x14ac:dyDescent="0.2"/>
    <row r="909" ht="23.25" customHeight="1" x14ac:dyDescent="0.2"/>
    <row r="910" ht="23.25" customHeight="1" x14ac:dyDescent="0.2"/>
    <row r="911" ht="23.25" customHeight="1" x14ac:dyDescent="0.2"/>
    <row r="912" ht="23.25" customHeight="1" x14ac:dyDescent="0.2"/>
    <row r="913" ht="23.25" customHeight="1" x14ac:dyDescent="0.2"/>
    <row r="914" ht="23.25" customHeight="1" x14ac:dyDescent="0.2"/>
    <row r="915" ht="23.25" customHeight="1" x14ac:dyDescent="0.2"/>
    <row r="916" ht="23.25" customHeight="1" x14ac:dyDescent="0.2"/>
    <row r="917" ht="23.25" customHeight="1" x14ac:dyDescent="0.2"/>
    <row r="918" ht="23.25" customHeight="1" x14ac:dyDescent="0.2"/>
    <row r="919" ht="23.25" customHeight="1" x14ac:dyDescent="0.2"/>
    <row r="920" ht="23.25" customHeight="1" x14ac:dyDescent="0.2"/>
    <row r="921" ht="23.25" customHeight="1" x14ac:dyDescent="0.2"/>
    <row r="922" ht="23.25" customHeight="1" x14ac:dyDescent="0.2"/>
    <row r="923" ht="23.25" customHeight="1" x14ac:dyDescent="0.2"/>
    <row r="924" ht="23.25" customHeight="1" x14ac:dyDescent="0.2"/>
    <row r="925" ht="23.25" customHeight="1" x14ac:dyDescent="0.2"/>
    <row r="926" ht="23.25" customHeight="1" x14ac:dyDescent="0.2"/>
    <row r="927" ht="23.25" customHeight="1" x14ac:dyDescent="0.2"/>
    <row r="928" ht="23.25" customHeight="1" x14ac:dyDescent="0.2"/>
    <row r="929" ht="23.25" customHeight="1" x14ac:dyDescent="0.2"/>
    <row r="930" ht="23.25" customHeight="1" x14ac:dyDescent="0.2"/>
    <row r="931" ht="23.25" customHeight="1" x14ac:dyDescent="0.2"/>
    <row r="932" ht="23.25" customHeight="1" x14ac:dyDescent="0.2"/>
    <row r="933" ht="23.25" customHeight="1" x14ac:dyDescent="0.2"/>
    <row r="934" ht="23.25" customHeight="1" x14ac:dyDescent="0.2"/>
    <row r="935" ht="23.25" customHeight="1" x14ac:dyDescent="0.2"/>
    <row r="936" ht="23.25" customHeight="1" x14ac:dyDescent="0.2"/>
    <row r="937" ht="23.25" customHeight="1" x14ac:dyDescent="0.2"/>
    <row r="938" ht="23.25" customHeight="1" x14ac:dyDescent="0.2"/>
    <row r="939" ht="23.25" customHeight="1" x14ac:dyDescent="0.2"/>
    <row r="940" ht="23.25" customHeight="1" x14ac:dyDescent="0.2"/>
    <row r="941" ht="23.25" customHeight="1" x14ac:dyDescent="0.2"/>
    <row r="942" ht="23.25" customHeight="1" x14ac:dyDescent="0.2"/>
    <row r="943" ht="23.25" customHeight="1" x14ac:dyDescent="0.2"/>
    <row r="944" ht="23.25" customHeight="1" x14ac:dyDescent="0.2"/>
    <row r="945" ht="23.25" customHeight="1" x14ac:dyDescent="0.2"/>
    <row r="946" ht="23.25" customHeight="1" x14ac:dyDescent="0.2"/>
    <row r="947" ht="23.25" customHeight="1" x14ac:dyDescent="0.2"/>
    <row r="948" ht="23.25" customHeight="1" x14ac:dyDescent="0.2"/>
    <row r="949" ht="23.25" customHeight="1" x14ac:dyDescent="0.2"/>
    <row r="950" ht="23.25" customHeight="1" x14ac:dyDescent="0.2"/>
    <row r="951" ht="23.25" customHeight="1" x14ac:dyDescent="0.2"/>
    <row r="952" ht="23.25" customHeight="1" x14ac:dyDescent="0.2"/>
    <row r="953" ht="23.25" customHeight="1" x14ac:dyDescent="0.2"/>
    <row r="954" ht="23.25" customHeight="1" x14ac:dyDescent="0.2"/>
    <row r="955" ht="23.25" customHeight="1" x14ac:dyDescent="0.2"/>
    <row r="956" ht="23.25" customHeight="1" x14ac:dyDescent="0.2"/>
    <row r="957" ht="23.25" customHeight="1" x14ac:dyDescent="0.2"/>
    <row r="958" ht="23.25" customHeight="1" x14ac:dyDescent="0.2"/>
    <row r="959" ht="23.25" customHeight="1" x14ac:dyDescent="0.2"/>
    <row r="960" ht="23.25" customHeight="1" x14ac:dyDescent="0.2"/>
    <row r="961" ht="23.25" customHeight="1" x14ac:dyDescent="0.2"/>
    <row r="962" ht="23.25" customHeight="1" x14ac:dyDescent="0.2"/>
    <row r="963" ht="23.25" customHeight="1" x14ac:dyDescent="0.2"/>
    <row r="964" ht="23.25" customHeight="1" x14ac:dyDescent="0.2"/>
    <row r="965" ht="23.25" customHeight="1" x14ac:dyDescent="0.2"/>
    <row r="966" ht="23.25" customHeight="1" x14ac:dyDescent="0.2"/>
    <row r="967" ht="23.25" customHeight="1" x14ac:dyDescent="0.2"/>
    <row r="968" ht="23.25" customHeight="1" x14ac:dyDescent="0.2"/>
    <row r="969" ht="23.25" customHeight="1" x14ac:dyDescent="0.2"/>
    <row r="970" ht="23.25" customHeight="1" x14ac:dyDescent="0.2"/>
    <row r="971" ht="23.25" customHeight="1" x14ac:dyDescent="0.2"/>
    <row r="972" ht="23.25" customHeight="1" x14ac:dyDescent="0.2"/>
    <row r="973" ht="23.25" customHeight="1" x14ac:dyDescent="0.2"/>
    <row r="974" ht="23.25" customHeight="1" x14ac:dyDescent="0.2"/>
    <row r="975" ht="23.25" customHeight="1" x14ac:dyDescent="0.2"/>
    <row r="976" ht="23.25" customHeight="1" x14ac:dyDescent="0.2"/>
    <row r="977" ht="23.25" customHeight="1" x14ac:dyDescent="0.2"/>
    <row r="978" ht="23.25" customHeight="1" x14ac:dyDescent="0.2"/>
    <row r="979" ht="23.25" customHeight="1" x14ac:dyDescent="0.2"/>
    <row r="980" ht="23.25" customHeight="1" x14ac:dyDescent="0.2"/>
    <row r="981" ht="23.25" customHeight="1" x14ac:dyDescent="0.2"/>
    <row r="982" ht="23.25" customHeight="1" x14ac:dyDescent="0.2"/>
    <row r="983" ht="23.25" customHeight="1" x14ac:dyDescent="0.2"/>
    <row r="984" ht="23.25" customHeight="1" x14ac:dyDescent="0.2"/>
    <row r="985" ht="23.25" customHeight="1" x14ac:dyDescent="0.2"/>
    <row r="986" ht="23.25" customHeight="1" x14ac:dyDescent="0.2"/>
    <row r="987" ht="23.25" customHeight="1" x14ac:dyDescent="0.2"/>
    <row r="988" ht="23.25" customHeight="1" x14ac:dyDescent="0.2"/>
    <row r="989" ht="23.25" customHeight="1" x14ac:dyDescent="0.2"/>
    <row r="990" ht="23.25" customHeight="1" x14ac:dyDescent="0.2"/>
    <row r="991" ht="23.25" customHeight="1" x14ac:dyDescent="0.2"/>
    <row r="992" ht="23.25" customHeight="1" x14ac:dyDescent="0.2"/>
    <row r="993" ht="23.25" customHeight="1" x14ac:dyDescent="0.2"/>
    <row r="994" ht="23.25" customHeight="1" x14ac:dyDescent="0.2"/>
    <row r="995" ht="23.25" customHeight="1" x14ac:dyDescent="0.2"/>
    <row r="996" ht="23.25" customHeight="1" x14ac:dyDescent="0.2"/>
    <row r="997" ht="23.25" customHeight="1" x14ac:dyDescent="0.2"/>
    <row r="998" ht="23.25" customHeight="1" x14ac:dyDescent="0.2"/>
    <row r="999" ht="23.25" customHeight="1" x14ac:dyDescent="0.2"/>
    <row r="1000" ht="23.25" customHeight="1" x14ac:dyDescent="0.2"/>
  </sheetData>
  <sheetProtection algorithmName="SHA-512" hashValue="+VltgWcca9aPKAEB51607PkeYD83iX/JU+G8zax8f4NGhf3kPKNi5n4ns0O1sEwtlE01c67Ey8NbxrFK4TmhDA==" saltValue="CwMXqdRMRVfJOIlKXmWeqg==" spinCount="100000" sheet="1" selectLockedCells="1"/>
  <mergeCells count="97">
    <mergeCell ref="B1:F1"/>
    <mergeCell ref="A39:N39"/>
    <mergeCell ref="M9:N9"/>
    <mergeCell ref="M18:N18"/>
    <mergeCell ref="M34:N34"/>
    <mergeCell ref="M32:N32"/>
    <mergeCell ref="M17:N17"/>
    <mergeCell ref="M23:N23"/>
    <mergeCell ref="M13:N13"/>
    <mergeCell ref="M14:N14"/>
    <mergeCell ref="M15:N15"/>
    <mergeCell ref="M22:N22"/>
    <mergeCell ref="H3:I3"/>
    <mergeCell ref="J3:K3"/>
    <mergeCell ref="L3:N3"/>
    <mergeCell ref="E6:F6"/>
    <mergeCell ref="M37:N37"/>
    <mergeCell ref="M36:N36"/>
    <mergeCell ref="E9:F9"/>
    <mergeCell ref="E7:F7"/>
    <mergeCell ref="E3:F3"/>
    <mergeCell ref="B3:D3"/>
    <mergeCell ref="B7:D7"/>
    <mergeCell ref="B9:D9"/>
    <mergeCell ref="B8:D8"/>
    <mergeCell ref="B4:D4"/>
    <mergeCell ref="B5:D5"/>
    <mergeCell ref="B6:D6"/>
    <mergeCell ref="H1:N1"/>
    <mergeCell ref="H2:N2"/>
    <mergeCell ref="A2:F2"/>
    <mergeCell ref="M16:N16"/>
    <mergeCell ref="M24:N24"/>
    <mergeCell ref="M20:N20"/>
    <mergeCell ref="M4:N4"/>
    <mergeCell ref="M5:N5"/>
    <mergeCell ref="A11:N11"/>
    <mergeCell ref="A19:N19"/>
    <mergeCell ref="E5:F5"/>
    <mergeCell ref="E8:F8"/>
    <mergeCell ref="E4:F4"/>
    <mergeCell ref="M6:N6"/>
    <mergeCell ref="M7:N7"/>
    <mergeCell ref="M8:N8"/>
    <mergeCell ref="M77:N77"/>
    <mergeCell ref="M64:N64"/>
    <mergeCell ref="M69:N69"/>
    <mergeCell ref="M70:N70"/>
    <mergeCell ref="M71:N71"/>
    <mergeCell ref="M72:N72"/>
    <mergeCell ref="M73:N73"/>
    <mergeCell ref="M74:N74"/>
    <mergeCell ref="A75:N75"/>
    <mergeCell ref="M68:N68"/>
    <mergeCell ref="A81:A83"/>
    <mergeCell ref="B83:N83"/>
    <mergeCell ref="M80:N80"/>
    <mergeCell ref="M79:N79"/>
    <mergeCell ref="B82:N82"/>
    <mergeCell ref="B81:E81"/>
    <mergeCell ref="M48:N48"/>
    <mergeCell ref="M49:N49"/>
    <mergeCell ref="M50:N50"/>
    <mergeCell ref="M43:N43"/>
    <mergeCell ref="M25:N25"/>
    <mergeCell ref="M44:N44"/>
    <mergeCell ref="M35:N35"/>
    <mergeCell ref="M29:N29"/>
    <mergeCell ref="M26:N26"/>
    <mergeCell ref="M33:N33"/>
    <mergeCell ref="M30:N30"/>
    <mergeCell ref="M27:N27"/>
    <mergeCell ref="M28:N28"/>
    <mergeCell ref="A31:N31"/>
    <mergeCell ref="M40:N40"/>
    <mergeCell ref="M38:N38"/>
    <mergeCell ref="M41:N41"/>
    <mergeCell ref="M42:N42"/>
    <mergeCell ref="M45:N45"/>
    <mergeCell ref="M46:N46"/>
    <mergeCell ref="M47:N47"/>
    <mergeCell ref="A51:N51"/>
    <mergeCell ref="M58:N58"/>
    <mergeCell ref="M59:N59"/>
    <mergeCell ref="M60:N60"/>
    <mergeCell ref="M52:N52"/>
    <mergeCell ref="M53:N53"/>
    <mergeCell ref="M54:N54"/>
    <mergeCell ref="M55:N55"/>
    <mergeCell ref="M56:N56"/>
    <mergeCell ref="M57:N57"/>
    <mergeCell ref="M61:N61"/>
    <mergeCell ref="M62:N62"/>
    <mergeCell ref="M65:N65"/>
    <mergeCell ref="M66:N66"/>
    <mergeCell ref="M67:N67"/>
    <mergeCell ref="A63:N63"/>
  </mergeCells>
  <phoneticPr fontId="0" type="noConversion"/>
  <conditionalFormatting sqref="J14:J18">
    <cfRule type="expression" dxfId="14" priority="1">
      <formula>"IF(AND(C14&lt;=1220, J14=""Double door""))"</formula>
    </cfRule>
  </conditionalFormatting>
  <conditionalFormatting sqref="L14:L18">
    <cfRule type="expression" dxfId="13" priority="13">
      <formula>B14&lt;1</formula>
    </cfRule>
  </conditionalFormatting>
  <conditionalFormatting sqref="L21:L30">
    <cfRule type="expression" dxfId="12" priority="70">
      <formula>B21&lt;1</formula>
    </cfRule>
  </conditionalFormatting>
  <conditionalFormatting sqref="L33:L38">
    <cfRule type="expression" dxfId="11" priority="62">
      <formula>B33&lt;1</formula>
    </cfRule>
  </conditionalFormatting>
  <conditionalFormatting sqref="L41:L50">
    <cfRule type="expression" dxfId="10" priority="52">
      <formula>B41&lt;1</formula>
    </cfRule>
  </conditionalFormatting>
  <conditionalFormatting sqref="L53:L62">
    <cfRule type="expression" dxfId="9" priority="42">
      <formula>B53&lt;1</formula>
    </cfRule>
  </conditionalFormatting>
  <conditionalFormatting sqref="L65:L74">
    <cfRule type="expression" dxfId="8" priority="32">
      <formula>B65&lt;1</formula>
    </cfRule>
  </conditionalFormatting>
  <conditionalFormatting sqref="AZ14:AZ19">
    <cfRule type="expression" dxfId="7" priority="12">
      <formula>"IF(AND(C14&lt;=1220, J14=""Double door""))"</formula>
    </cfRule>
  </conditionalFormatting>
  <dataValidations xWindow="982" yWindow="555" count="39">
    <dataValidation type="list" allowBlank="1" showInputMessage="1" showErrorMessage="1" sqref="B8" xr:uid="{00000000-0002-0000-0000-000000000000}">
      <formula1>$AC$17:$AC$30</formula1>
    </dataValidation>
    <dataValidation type="list" allowBlank="1" showInputMessage="1" showErrorMessage="1" sqref="F41:F50 F65:F74 F53:F62" xr:uid="{00000000-0002-0000-0000-000001000000}">
      <formula1>$AB$5:$AB$8</formula1>
    </dataValidation>
    <dataValidation type="list" allowBlank="1" showInputMessage="1" showErrorMessage="1" sqref="G65:G74 G41:G50 G53:G62 G33:G38" xr:uid="{00000000-0002-0000-0000-000002000000}">
      <formula1>$AD$5:$AD$6</formula1>
    </dataValidation>
    <dataValidation type="list" allowBlank="1" showInputMessage="1" showErrorMessage="1" sqref="H41:H50 H65:H74 H53:H62 H33:H38" xr:uid="{00000000-0002-0000-0000-000003000000}">
      <formula1>$AF$5:$AF$6</formula1>
    </dataValidation>
    <dataValidation type="list" allowBlank="1" showInputMessage="1" showErrorMessage="1" sqref="K41:K50 K65:K74 K33:K38 K53:K62" xr:uid="{00000000-0002-0000-0000-000004000000}">
      <formula1>$AG$5:$AG$7</formula1>
    </dataValidation>
    <dataValidation type="list" allowBlank="1" showInputMessage="1" showErrorMessage="1" sqref="V5" xr:uid="{00000000-0002-0000-0000-000005000000}">
      <formula1>$X$5:$X$9</formula1>
    </dataValidation>
    <dataValidation type="list" allowBlank="1" showInputMessage="1" showErrorMessage="1" sqref="E41:E50 E65:E74 E53:E62 E33:E38" xr:uid="{00000000-0002-0000-0000-000006000000}">
      <formula1>V$8:V$9</formula1>
    </dataValidation>
    <dataValidation type="list" allowBlank="1" showInputMessage="1" showErrorMessage="1" sqref="J65:J74 J41:J50 J53:J62" xr:uid="{00000000-0002-0000-0000-000007000000}">
      <formula1>$AF$9:$AF$11</formula1>
    </dataValidation>
    <dataValidation type="list" allowBlank="1" showInputMessage="1" showErrorMessage="1" sqref="I65:I74 I21:I30 I41:I50 I53:I62 I33:I38 H14:H18" xr:uid="{00000000-0002-0000-0000-000008000000}">
      <formula1>$AF$14:$AF$17</formula1>
    </dataValidation>
    <dataValidation type="list" allowBlank="1" showInputMessage="1" showErrorMessage="1" prompt="Always use Stiffened 18-14 on doors to reduce mesh wear" sqref="G14:G18" xr:uid="{00000000-0002-0000-0000-000009000000}">
      <formula1>$AD$5</formula1>
    </dataValidation>
    <dataValidation type="list" allowBlank="1" showInputMessage="1" showErrorMessage="1" prompt="Latching handles are fitted at 1000mm from the bottom of the slidebar to the top screw in the handle_x000a_Make sure you have 25mm for the back handle_x000a_Standard handles are supplied for you to fit so you can choose the height_x000a_Finger pulls are fitted at 1000mm " sqref="I14:I18" xr:uid="{00000000-0002-0000-0000-00000B000000}">
      <formula1>$AF$14:$AF$17</formula1>
    </dataValidation>
    <dataValidation allowBlank="1" showInputMessage="1" showErrorMessage="1" prompt="Screens over 1220mm are automatically double screens._x000a_They are still considered as one unit - you do not count the cassettes_x000a_" sqref="B14:B18" xr:uid="{00000000-0002-0000-0000-00000D000000}"/>
    <dataValidation type="whole" operator="lessThanOrEqual" showInputMessage="1" showErrorMessage="1" error="Max width is 1830mm" prompt="Max width is 1830mm" sqref="C21:C30" xr:uid="{00000000-0002-0000-0000-00000E000000}">
      <formula1>1830</formula1>
    </dataValidation>
    <dataValidation type="whole" operator="lessThan" allowBlank="1" showInputMessage="1" showErrorMessage="1" error="Max height is 1980mm" prompt="Max height is 1980mm" sqref="D21:D30" xr:uid="{00000000-0002-0000-0000-00000F000000}">
      <formula1>1981</formula1>
    </dataValidation>
    <dataValidation type="list" allowBlank="1" showInputMessage="1" showErrorMessage="1" prompt="We cut cut the tracks to size or add an additional 50mm for you to make the final cut onsite to ensure a perfect fit." sqref="E21:E30" xr:uid="{00000000-0002-0000-0000-000010000000}">
      <formula1>V$8:V$9</formula1>
    </dataValidation>
    <dataValidation type="whole" operator="lessThan" allowBlank="1" showInputMessage="1" showErrorMessage="1" error="Max Width is 4000mm" prompt="Max Width is 4000mm_x000a_" sqref="C33:C38" xr:uid="{00000000-0002-0000-0000-000011000000}">
      <formula1>4001</formula1>
    </dataValidation>
    <dataValidation type="whole" operator="lessThan" allowBlank="1" showInputMessage="1" showErrorMessage="1" prompt="Max width is 2440mm as a double door screen_x000a_" sqref="C41:C50" xr:uid="{00000000-0002-0000-0000-000012000000}">
      <formula1>2401</formula1>
    </dataValidation>
    <dataValidation type="whole" operator="lessThan" allowBlank="1" showInputMessage="1" showErrorMessage="1" error="Max height is 2200mm" prompt="Max height is 2200mm" sqref="D41:D50 D53:D62" xr:uid="{00000000-0002-0000-0000-000013000000}">
      <formula1>2201</formula1>
    </dataValidation>
    <dataValidation type="list" allowBlank="1" showInputMessage="1" showErrorMessage="1" prompt="Face fit or recess fit._x000a_This tells us where you want the bottom bar brush strip." sqref="H21:H30" xr:uid="{00000000-0002-0000-0000-000014000000}">
      <formula1>$AF$5:$AF$6</formula1>
    </dataValidation>
    <dataValidation type="list" allowBlank="1" showInputMessage="1" showErrorMessage="1" prompt="Please select Single or Double from the drop down choices" sqref="A41:A50" xr:uid="{00000000-0002-0000-0000-000016000000}">
      <formula1>$A$161:$A$162</formula1>
    </dataValidation>
    <dataValidation type="list" allowBlank="1" showInputMessage="1" showErrorMessage="1" prompt="Direction is viewed from looking at the screen from the cassette side, double doors draw to the middle_x000a__x000a_" sqref="J33:J38" xr:uid="{00000000-0002-0000-0000-000018000000}">
      <formula1>$AF$8:$AF$11</formula1>
    </dataValidation>
    <dataValidation type="list" allowBlank="1" showInputMessage="1" showErrorMessage="1" prompt="Please select Small, Medium, Large from the drop down choices" sqref="A53:A62" xr:uid="{00000000-0002-0000-0000-000019000000}">
      <formula1>A$167:A$169</formula1>
    </dataValidation>
    <dataValidation type="whole" operator="lessThan" allowBlank="1" showInputMessage="1" showErrorMessage="1" error="Max pull accross or down is 1200mm" prompt="Max pull down is 1200mm" sqref="D65:D74" xr:uid="{00000000-0002-0000-0000-00001A000000}">
      <formula1>1201</formula1>
    </dataValidation>
    <dataValidation type="list" allowBlank="1" showInputMessage="1" showErrorMessage="1" error="Please call the office for help 01778 560070" sqref="A33:A38" xr:uid="{00000000-0002-0000-0000-00001C000000}">
      <formula1>$X$8:$X$9</formula1>
    </dataValidation>
    <dataValidation type="list" allowBlank="1" showInputMessage="1" showErrorMessage="1" error="Please call the office for help 01778 560070" sqref="A21:A30" xr:uid="{00000000-0002-0000-0000-00001E000000}">
      <formula1>$AS$5:$AS$8</formula1>
    </dataValidation>
    <dataValidation type="whole" operator="lessThan" allowBlank="1" showInputMessage="1" showErrorMessage="1" error="Max width is 1200mm_x000a_" prompt="Max width is 1200mm" sqref="C53:C62" xr:uid="{00000000-0002-0000-0000-000020000000}">
      <formula1>1201</formula1>
    </dataValidation>
    <dataValidation type="whole" allowBlank="1" showInputMessage="1" showErrorMessage="1" error="Legacy maxium width is 2440mm" prompt="Max width is 2440mm over 1220mm screens become double cassettes - Max width on oversized doors (Above 2130mm high) is 914mm or 1830mm if a double._x000a_" sqref="C14:C18" xr:uid="{00000000-0002-0000-0000-000022000000}">
      <formula1>1</formula1>
      <formula2>2440</formula2>
    </dataValidation>
    <dataValidation type="whole" operator="lessThan" allowBlank="1" showInputMessage="1" showErrorMessage="1" error="Max height is 3000m" prompt="Standard height is 2130mm_x000a_Max height is 3000mm _x000a_Price increases at 2130mm and again at 2600mm_x000a_ - Max width on oversized doors (Above 2130mm high) is 914mm or 1830mm if a double._x000a_" sqref="D14:D18" xr:uid="{00000000-0002-0000-0000-000023000000}">
      <formula1>3001</formula1>
    </dataValidation>
    <dataValidation type="list" allowBlank="1" showInputMessage="1" showErrorMessage="1" sqref="F33:F38" xr:uid="{5D3E9582-C3DF-4C8E-8ECA-AD36613484F4}">
      <formula1>$AI$5:$AI$6</formula1>
    </dataValidation>
    <dataValidation type="list" allowBlank="1" showInputMessage="1" showErrorMessage="1" prompt="Direction is viewed from looking at the screen from the cassette side, double doors are priced automatically over 1220mm if you want a double double less than 1220mm you need to price as a double door over 1220mm_x000a__x000a_" sqref="AZ14:AZ19 J14:J18" xr:uid="{9DAC7DF7-1457-4EA6-9413-7A42BC7089BB}">
      <formula1>$AF$8:$AF$11</formula1>
    </dataValidation>
    <dataValidation type="list" allowBlank="1" showInputMessage="1" showErrorMessage="1" error="Please call the office for help 01778 560070" prompt="Doors are automatically classed as single under 1220mm wide. If you need a double this will be priced as over 1220mm." sqref="A14:A18" xr:uid="{E232D1DD-5837-44C3-94FF-70B0AAA119A1}">
      <formula1>$AR$5:$AR$9</formula1>
    </dataValidation>
    <dataValidation type="list" allowBlank="1" showInputMessage="1" showErrorMessage="1" prompt="18-14 or 20-20" sqref="G21:G30" xr:uid="{B9B9B434-E23B-416C-8916-E0995BC6B44C}">
      <formula1>$AD$5:$AD$6</formula1>
    </dataValidation>
    <dataValidation type="whole" operator="lessThan" allowBlank="1" showInputMessage="1" showErrorMessage="1" error="Max height is 2600mm" prompt="Height must be 50mm more than single screen width_x000a_Max height is 2600mm_x000a_Min height is 1950mm" sqref="D33:D38" xr:uid="{4D1B7F53-8928-4448-8C27-579500F1DCCE}">
      <formula1>2601</formula1>
    </dataValidation>
    <dataValidation type="list" allowBlank="1" showInputMessage="1" showErrorMessage="1" prompt="We can cut to exact blind size or send 50mm oversize for you to cut down onsite to ensure a perfect fit._x000a_" sqref="E14:E18" xr:uid="{FB68520C-3725-4421-A24A-EFCA35CC9794}">
      <formula1>$V$8:$V$9</formula1>
    </dataValidation>
    <dataValidation type="list" allowBlank="1" showInputMessage="1" showErrorMessage="1" prompt="SC should not be use on exturnal doors_x000a_SC is not necessary on single doors_x000a_SC should never be used with magnet fastening_x000a_NOT TO BE USED ON DOORS OVER 2130MM" sqref="K14:K18" xr:uid="{654F7E89-E173-48FE-ADC4-F9EFF30CCD64}">
      <formula1>$AG$5:$AG$6</formula1>
    </dataValidation>
    <dataValidation type="list" allowBlank="1" showInputMessage="1" showErrorMessage="1" prompt="Stock Brown has been discontinued please use bespoke colour and choose a RAL code and finish" sqref="F14:F18 F21:F30" xr:uid="{77BBC4EB-C819-46DA-AF8E-A037E33ADFF5}">
      <formula1>$AB$6:$AB$8</formula1>
    </dataValidation>
    <dataValidation type="list" allowBlank="1" showInputMessage="1" showErrorMessage="1" prompt="Please select Small, Medium, Large is too wide for pull down. Please split into two small screens." sqref="A65:A74" xr:uid="{D520F324-6904-45D1-8544-0D8F4C46CF7C}">
      <formula1>$A$163:$A$164</formula1>
    </dataValidation>
    <dataValidation type="whole" operator="lessThan" allowBlank="1" showInputMessage="1" showErrorMessage="1" error="Max cassette width is 1200mm_x000a_" prompt="Max cassette width is 1200mm" sqref="C65:C74" xr:uid="{0527C976-FEB8-4E42-AE99-F80E2910C32B}">
      <formula1>1201</formula1>
    </dataValidation>
    <dataValidation type="list" allowBlank="1" showInputMessage="1" showErrorMessage="1" prompt="SC is not used over 1525mm wide due to the weight" sqref="K21:K23 K25:K30" xr:uid="{AE47895D-3ED1-4FBA-8920-7E20224DBD53}">
      <formula1>$AG$5:$AG$6</formula1>
    </dataValidation>
  </dataValidations>
  <hyperlinks>
    <hyperlink ref="B9" r:id="rId1" display="BB@Bbblinds.com" xr:uid="{BC8D1F62-2ECC-4D1B-8286-A236C41AC74E}"/>
  </hyperlinks>
  <pageMargins left="0.35433070866141736" right="0.31496062992125984" top="0.35433070866141736" bottom="0.35433070866141736" header="0.31496062992125984" footer="0.31496062992125984"/>
  <pageSetup paperSize="9" scale="36" fitToHeight="2" orientation="landscape" verticalDpi="4294967293" r:id="rId2"/>
  <headerFooter>
    <oddFooter>&amp;C&amp;D&amp;T&amp;Z&amp;F&amp;F</oddFooter>
  </headerFooter>
  <rowBreaks count="1" manualBreakCount="1">
    <brk id="38" max="13" man="1"/>
  </rowBreaks>
  <drawing r:id="rId3"/>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F81"/>
  <sheetViews>
    <sheetView topLeftCell="A4" zoomScale="50" zoomScaleNormal="50" workbookViewId="0">
      <selection activeCell="X9" sqref="X9"/>
    </sheetView>
  </sheetViews>
  <sheetFormatPr defaultColWidth="9.140625" defaultRowHeight="15" x14ac:dyDescent="0.25"/>
  <cols>
    <col min="1" max="1" width="21.140625" style="29" customWidth="1"/>
    <col min="2" max="2" width="13.28515625" style="29" customWidth="1"/>
    <col min="3" max="3" width="16" style="29" customWidth="1"/>
    <col min="4" max="4" width="13.28515625" style="29" customWidth="1"/>
    <col min="5" max="5" width="14.140625" style="29" customWidth="1"/>
    <col min="6" max="6" width="13.28515625" style="29" customWidth="1"/>
    <col min="7" max="7" width="29.42578125" style="29" customWidth="1"/>
    <col min="8" max="8" width="21.140625" style="29" customWidth="1"/>
    <col min="9" max="9" width="9.7109375" style="29" customWidth="1"/>
    <col min="10" max="12" width="16.42578125" style="29" customWidth="1"/>
    <col min="13" max="13" width="23.42578125" style="29" customWidth="1"/>
    <col min="14" max="14" width="16.42578125" style="29" customWidth="1"/>
    <col min="15" max="15" width="24.42578125" style="29" customWidth="1"/>
    <col min="16" max="16" width="21.140625" style="29" customWidth="1"/>
    <col min="17" max="17" width="16.42578125" style="29" customWidth="1"/>
    <col min="18" max="18" width="35.42578125" style="29" customWidth="1"/>
    <col min="19" max="20" width="16.42578125" style="29" customWidth="1"/>
    <col min="21" max="21" width="24.42578125" style="29" customWidth="1"/>
    <col min="22" max="22" width="28.7109375" style="29" customWidth="1"/>
    <col min="23" max="23" width="16.42578125" style="29" customWidth="1"/>
    <col min="24" max="24" width="27.7109375" style="29" customWidth="1"/>
    <col min="25" max="26" width="16.42578125" style="29" customWidth="1"/>
    <col min="27" max="28" width="21" style="29" hidden="1" customWidth="1"/>
    <col min="29" max="29" width="0" style="29" hidden="1" customWidth="1"/>
    <col min="30" max="30" width="14.42578125" style="29" hidden="1" customWidth="1"/>
    <col min="31" max="31" width="27.7109375" style="29" customWidth="1"/>
    <col min="32" max="16384" width="9.140625" style="29"/>
  </cols>
  <sheetData>
    <row r="1" spans="1:32" ht="42.75" customHeight="1" x14ac:dyDescent="0.4">
      <c r="A1" s="28" t="s">
        <v>8</v>
      </c>
      <c r="B1" s="185">
        <f>+K1</f>
        <v>0</v>
      </c>
      <c r="C1" s="185"/>
      <c r="D1" s="185"/>
      <c r="E1" s="185"/>
      <c r="F1" s="185"/>
      <c r="G1" s="66"/>
      <c r="H1" s="66"/>
      <c r="I1" s="66"/>
      <c r="J1" s="56" t="s">
        <v>8</v>
      </c>
      <c r="K1" s="57"/>
      <c r="L1" s="58"/>
      <c r="M1" s="59"/>
      <c r="N1" s="184" t="str">
        <f>+'Order form'!B4</f>
        <v>Controlux Ltd</v>
      </c>
      <c r="O1" s="184"/>
      <c r="P1" s="2"/>
      <c r="Q1" s="2"/>
      <c r="R1" s="2"/>
      <c r="S1" s="2"/>
      <c r="T1" s="2"/>
      <c r="U1" s="2"/>
      <c r="V1" s="2"/>
      <c r="W1" s="2"/>
      <c r="X1" s="2"/>
      <c r="Y1" s="2"/>
      <c r="Z1" s="2"/>
      <c r="AA1" s="2"/>
      <c r="AB1" s="2"/>
      <c r="AC1" s="2"/>
      <c r="AD1" s="2"/>
      <c r="AE1" s="2"/>
    </row>
    <row r="2" spans="1:32" ht="42.75" customHeight="1" x14ac:dyDescent="0.4">
      <c r="A2" s="28" t="s">
        <v>25</v>
      </c>
      <c r="B2" s="185">
        <f>+K2</f>
        <v>0</v>
      </c>
      <c r="C2" s="185"/>
      <c r="D2" s="185"/>
      <c r="E2" s="185"/>
      <c r="F2" s="185"/>
      <c r="G2" s="66"/>
      <c r="H2" s="66"/>
      <c r="I2" s="66"/>
      <c r="J2" s="56" t="s">
        <v>25</v>
      </c>
      <c r="K2" s="57"/>
      <c r="L2" s="58"/>
      <c r="M2" s="59"/>
      <c r="N2" s="184" t="str">
        <f>+'Order form'!B6</f>
        <v>Ben Baker</v>
      </c>
      <c r="O2" s="184"/>
      <c r="P2" s="2"/>
      <c r="Q2" s="2"/>
      <c r="R2" s="2"/>
      <c r="S2" s="2"/>
      <c r="T2" s="2"/>
      <c r="U2" s="2"/>
      <c r="V2" s="2"/>
      <c r="W2" s="2"/>
      <c r="X2" s="2"/>
      <c r="Y2" s="2"/>
      <c r="Z2" s="2"/>
      <c r="AA2" s="2"/>
      <c r="AB2" s="2"/>
      <c r="AC2" s="2"/>
      <c r="AD2" s="2"/>
      <c r="AE2" s="2"/>
    </row>
    <row r="3" spans="1:32" ht="42.75" customHeight="1" x14ac:dyDescent="0.4">
      <c r="A3" s="28" t="s">
        <v>37</v>
      </c>
      <c r="B3" s="186" t="e">
        <f>+#REF!</f>
        <v>#REF!</v>
      </c>
      <c r="C3" s="186"/>
      <c r="D3" s="186"/>
      <c r="E3" s="185"/>
      <c r="F3" s="185"/>
      <c r="G3" s="66"/>
      <c r="H3" s="66"/>
      <c r="I3" s="66"/>
      <c r="J3" s="56" t="s">
        <v>513</v>
      </c>
      <c r="K3" s="57"/>
      <c r="L3" s="58"/>
      <c r="M3" s="59"/>
      <c r="N3" s="184"/>
      <c r="O3" s="184"/>
      <c r="P3" s="2"/>
      <c r="Q3" s="2"/>
      <c r="R3" s="2"/>
      <c r="S3" s="2"/>
      <c r="T3" s="2"/>
      <c r="U3" s="2"/>
      <c r="V3" s="2"/>
      <c r="W3" s="2"/>
      <c r="X3" s="2"/>
      <c r="Y3" s="2"/>
      <c r="Z3" s="2"/>
      <c r="AA3" s="2"/>
      <c r="AB3" s="2"/>
      <c r="AC3" s="2"/>
      <c r="AD3" s="2"/>
      <c r="AE3" s="2"/>
    </row>
    <row r="4" spans="1:32"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2"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2" ht="30" customHeight="1" x14ac:dyDescent="0.25">
      <c r="A6" s="30" t="s">
        <v>514</v>
      </c>
      <c r="B6" s="2"/>
      <c r="C6" s="2"/>
      <c r="D6" s="2"/>
      <c r="E6" s="2"/>
      <c r="F6" s="2"/>
      <c r="G6" s="2"/>
      <c r="H6" s="2"/>
      <c r="I6" s="2"/>
      <c r="J6" s="31" t="s">
        <v>515</v>
      </c>
      <c r="K6" s="31"/>
      <c r="L6" s="31"/>
      <c r="M6" s="31"/>
      <c r="N6" s="2"/>
      <c r="O6" s="2"/>
      <c r="P6" s="2"/>
      <c r="Q6" s="2"/>
      <c r="R6" s="2"/>
      <c r="S6" s="2"/>
      <c r="T6" s="2"/>
      <c r="U6" s="2"/>
      <c r="V6" s="2"/>
      <c r="W6" s="2"/>
      <c r="X6" s="2"/>
      <c r="Y6" s="2"/>
      <c r="Z6" s="2"/>
      <c r="AA6" s="2"/>
      <c r="AB6" s="2"/>
      <c r="AC6" s="2"/>
      <c r="AD6" s="2"/>
      <c r="AE6" s="2"/>
    </row>
    <row r="7" spans="1:32" hidden="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row>
    <row r="8" spans="1:32" ht="199.5" customHeight="1" x14ac:dyDescent="0.25">
      <c r="A8" s="32" t="s">
        <v>309</v>
      </c>
      <c r="B8" s="32" t="s">
        <v>308</v>
      </c>
      <c r="C8" s="32" t="s">
        <v>516</v>
      </c>
      <c r="D8" s="32" t="s">
        <v>517</v>
      </c>
      <c r="E8" s="32" t="s">
        <v>518</v>
      </c>
      <c r="F8" s="32" t="s">
        <v>519</v>
      </c>
      <c r="G8" s="54" t="s">
        <v>520</v>
      </c>
      <c r="H8" s="54" t="s">
        <v>300</v>
      </c>
      <c r="I8" s="54" t="s">
        <v>521</v>
      </c>
      <c r="J8" s="54" t="s">
        <v>309</v>
      </c>
      <c r="K8" s="54" t="s">
        <v>308</v>
      </c>
      <c r="L8" s="54" t="s">
        <v>516</v>
      </c>
      <c r="M8" s="54" t="s">
        <v>522</v>
      </c>
      <c r="N8" s="54" t="s">
        <v>517</v>
      </c>
      <c r="O8" s="54" t="s">
        <v>523</v>
      </c>
      <c r="P8" s="54" t="s">
        <v>524</v>
      </c>
      <c r="Q8" s="54" t="s">
        <v>525</v>
      </c>
      <c r="R8" s="54" t="s">
        <v>526</v>
      </c>
      <c r="S8" s="54" t="s">
        <v>527</v>
      </c>
      <c r="T8" s="54" t="s">
        <v>518</v>
      </c>
      <c r="U8" s="54" t="s">
        <v>519</v>
      </c>
      <c r="V8" s="54" t="s">
        <v>528</v>
      </c>
      <c r="W8" s="54" t="s">
        <v>529</v>
      </c>
      <c r="X8" s="54" t="str">
        <f>'Order form'!I13</f>
        <v>HANDLE AND FASTENING OPTIONS</v>
      </c>
      <c r="Y8" s="54" t="str">
        <f>'Order form'!J13</f>
        <v xml:space="preserve">PULL DIRECTION </v>
      </c>
      <c r="Z8" s="55" t="str">
        <f>'Order form'!G13</f>
        <v>MESH 
(18-14 Black only)</v>
      </c>
      <c r="AA8" s="55"/>
      <c r="AB8" s="55"/>
      <c r="AC8" s="55"/>
      <c r="AD8" s="55"/>
      <c r="AE8" s="55" t="s">
        <v>530</v>
      </c>
      <c r="AF8" s="48"/>
    </row>
    <row r="9" spans="1:32" s="52" customFormat="1" ht="170.25" customHeight="1" x14ac:dyDescent="0.45">
      <c r="A9" s="50">
        <f>+'Order form'!C14</f>
        <v>0</v>
      </c>
      <c r="B9" s="50">
        <f>+'Order form'!D14</f>
        <v>0</v>
      </c>
      <c r="C9" s="51">
        <f>B9-20+20</f>
        <v>0</v>
      </c>
      <c r="D9" s="51">
        <f>B9-62+20</f>
        <v>-42</v>
      </c>
      <c r="E9" s="51">
        <f>+A9</f>
        <v>0</v>
      </c>
      <c r="F9" s="51">
        <f>+A9</f>
        <v>0</v>
      </c>
      <c r="G9" s="53">
        <f>+'Order form'!A14</f>
        <v>0</v>
      </c>
      <c r="H9" s="53">
        <f>+'Order form'!F14</f>
        <v>0</v>
      </c>
      <c r="I9" s="53">
        <f>+'Order form'!B14</f>
        <v>0</v>
      </c>
      <c r="J9" s="53">
        <f t="shared" ref="J9:K13" si="0">+A9</f>
        <v>0</v>
      </c>
      <c r="K9" s="53">
        <f t="shared" si="0"/>
        <v>0</v>
      </c>
      <c r="L9" s="53">
        <f t="shared" ref="L9:L13" si="1">K9-20</f>
        <v>-20</v>
      </c>
      <c r="M9" s="53" t="str">
        <f>IF(J9&gt;1220,L9,"Single door")</f>
        <v>Single door</v>
      </c>
      <c r="N9" s="53">
        <f>K9-62</f>
        <v>-62</v>
      </c>
      <c r="O9" s="53" t="str">
        <f>IF(J9&gt;1220,N9,"Single door")</f>
        <v>Single door</v>
      </c>
      <c r="P9" s="53">
        <f>K9-23</f>
        <v>-23</v>
      </c>
      <c r="Q9" s="53" t="str">
        <f>IF(J9&gt;1220,P9,"Single door")</f>
        <v>Single door</v>
      </c>
      <c r="R9" s="53">
        <f>K9-32-AC9</f>
        <v>-32</v>
      </c>
      <c r="S9" s="53" t="str">
        <f>IF(J9&gt;1220,R9,"Single door")</f>
        <v>Single door</v>
      </c>
      <c r="T9" s="53">
        <f>+AA9</f>
        <v>0</v>
      </c>
      <c r="U9" s="53" t="str">
        <f>IF(J9&lt;915,"Single 2m track only",T9)</f>
        <v>Single 2m track only</v>
      </c>
      <c r="V9" s="53" t="str">
        <f>IF('Order form'!K14="Yes (+£5 per cassette)","YES","NO")</f>
        <v>NO</v>
      </c>
      <c r="W9" s="53">
        <f>'Order form'!E14</f>
        <v>0</v>
      </c>
      <c r="X9" s="53">
        <f>'Order form'!I14</f>
        <v>0</v>
      </c>
      <c r="Y9" s="53">
        <f>'Order form'!J14</f>
        <v>0</v>
      </c>
      <c r="Z9" s="53">
        <f>'Order form'!G14</f>
        <v>0</v>
      </c>
      <c r="AA9" s="53">
        <f>IF(W9="Plus 50mm",J9+50-(49*AB9),(IF(W9="Exact size",J9-(49*AB9),(IF(W9="Un cut factory length",AD9,0)))))</f>
        <v>0</v>
      </c>
      <c r="AB9" s="53">
        <f>IF(J9&gt;1220,2,1)</f>
        <v>1</v>
      </c>
      <c r="AC9" s="53">
        <f>IF(V9="YES",5,0)</f>
        <v>0</v>
      </c>
      <c r="AD9" s="53">
        <f>IF(J9&lt;2000,2000,2500)</f>
        <v>2000</v>
      </c>
      <c r="AE9" s="53">
        <f>'Order form'!M14</f>
        <v>0</v>
      </c>
    </row>
    <row r="10" spans="1:32" s="52" customFormat="1" ht="170.25" customHeight="1" x14ac:dyDescent="0.45">
      <c r="A10" s="50">
        <f>+'Order form'!C15</f>
        <v>0</v>
      </c>
      <c r="B10" s="50">
        <f>+'Order form'!D15</f>
        <v>0</v>
      </c>
      <c r="C10" s="51">
        <f t="shared" ref="C10:C13" si="2">B10-20+20</f>
        <v>0</v>
      </c>
      <c r="D10" s="51">
        <f t="shared" ref="D10:D13" si="3">B10-62+20</f>
        <v>-42</v>
      </c>
      <c r="E10" s="51">
        <f>+A10</f>
        <v>0</v>
      </c>
      <c r="F10" s="51">
        <f>+A10</f>
        <v>0</v>
      </c>
      <c r="G10" s="53">
        <f>+'Order form'!A15</f>
        <v>0</v>
      </c>
      <c r="H10" s="53">
        <f>+'Order form'!F15</f>
        <v>0</v>
      </c>
      <c r="I10" s="53">
        <f>+'Order form'!B15</f>
        <v>0</v>
      </c>
      <c r="J10" s="53">
        <f t="shared" si="0"/>
        <v>0</v>
      </c>
      <c r="K10" s="53">
        <f t="shared" si="0"/>
        <v>0</v>
      </c>
      <c r="L10" s="53">
        <f t="shared" si="1"/>
        <v>-20</v>
      </c>
      <c r="M10" s="53" t="str">
        <f t="shared" ref="M10:M13" si="4">IF(J10&gt;1220,L10,"Single door")</f>
        <v>Single door</v>
      </c>
      <c r="N10" s="53">
        <f t="shared" ref="N10:N13" si="5">K10-62</f>
        <v>-62</v>
      </c>
      <c r="O10" s="53" t="str">
        <f t="shared" ref="O10:O13" si="6">IF(J10&gt;1220,N10,"Single door")</f>
        <v>Single door</v>
      </c>
      <c r="P10" s="53">
        <f t="shared" ref="P10:P13" si="7">K10-23</f>
        <v>-23</v>
      </c>
      <c r="Q10" s="53" t="str">
        <f t="shared" ref="Q10:Q13" si="8">IF(J10&gt;1220,P10,"Single door")</f>
        <v>Single door</v>
      </c>
      <c r="R10" s="53">
        <f t="shared" ref="R10:R13" si="9">K10-32-AC10</f>
        <v>-32</v>
      </c>
      <c r="S10" s="53" t="str">
        <f t="shared" ref="S10:S13" si="10">IF(J10&gt;1220,R10,"Single door")</f>
        <v>Single door</v>
      </c>
      <c r="T10" s="53">
        <f t="shared" ref="T10:T13" si="11">+AA10</f>
        <v>0</v>
      </c>
      <c r="U10" s="53" t="str">
        <f t="shared" ref="U10:U13" si="12">IF(J10&lt;915,"Single 2m track only",T10)</f>
        <v>Single 2m track only</v>
      </c>
      <c r="V10" s="53" t="str">
        <f>IF('Order form'!K15="Yes (+£5 per cassette)","YES","NO")</f>
        <v>NO</v>
      </c>
      <c r="W10" s="53">
        <f>'Order form'!E15</f>
        <v>0</v>
      </c>
      <c r="X10" s="53">
        <f>'Order form'!I15</f>
        <v>0</v>
      </c>
      <c r="Y10" s="53">
        <f>'Order form'!J15</f>
        <v>0</v>
      </c>
      <c r="Z10" s="53">
        <f>'Order form'!G15</f>
        <v>0</v>
      </c>
      <c r="AA10" s="53">
        <f t="shared" ref="AA10:AA13" si="13">IF(W10="Plus 50mm",J10+50-(49*AB10),(IF(W10="Exact size",J10-(49*AB10),(IF(W10="Un cut factory length",AD10,0)))))</f>
        <v>0</v>
      </c>
      <c r="AB10" s="53">
        <f t="shared" ref="AB10:AB13" si="14">IF(J10&gt;1220,2,1)</f>
        <v>1</v>
      </c>
      <c r="AC10" s="53">
        <f t="shared" ref="AC10:AC13" si="15">IF(V10="YES",5,0)</f>
        <v>0</v>
      </c>
      <c r="AD10" s="53">
        <f t="shared" ref="AD10:AD13" si="16">IF(J10&lt;2000,2000,2500)</f>
        <v>2000</v>
      </c>
      <c r="AE10" s="53">
        <f>'Order form'!M15</f>
        <v>0</v>
      </c>
    </row>
    <row r="11" spans="1:32" s="52" customFormat="1" ht="170.25" customHeight="1" x14ac:dyDescent="0.45">
      <c r="A11" s="50">
        <f>+'Order form'!C16</f>
        <v>0</v>
      </c>
      <c r="B11" s="50">
        <f>+'Order form'!D16</f>
        <v>0</v>
      </c>
      <c r="C11" s="51">
        <f t="shared" si="2"/>
        <v>0</v>
      </c>
      <c r="D11" s="51">
        <f t="shared" si="3"/>
        <v>-42</v>
      </c>
      <c r="E11" s="51">
        <f>+A11</f>
        <v>0</v>
      </c>
      <c r="F11" s="51">
        <f>+A11</f>
        <v>0</v>
      </c>
      <c r="G11" s="53">
        <f>+'Order form'!A16</f>
        <v>0</v>
      </c>
      <c r="H11" s="53">
        <f>+'Order form'!F16</f>
        <v>0</v>
      </c>
      <c r="I11" s="53">
        <f>+'Order form'!B16</f>
        <v>0</v>
      </c>
      <c r="J11" s="53">
        <f t="shared" si="0"/>
        <v>0</v>
      </c>
      <c r="K11" s="53">
        <f t="shared" si="0"/>
        <v>0</v>
      </c>
      <c r="L11" s="53">
        <f t="shared" si="1"/>
        <v>-20</v>
      </c>
      <c r="M11" s="53" t="str">
        <f t="shared" si="4"/>
        <v>Single door</v>
      </c>
      <c r="N11" s="53">
        <f t="shared" si="5"/>
        <v>-62</v>
      </c>
      <c r="O11" s="53" t="str">
        <f t="shared" si="6"/>
        <v>Single door</v>
      </c>
      <c r="P11" s="53">
        <f t="shared" si="7"/>
        <v>-23</v>
      </c>
      <c r="Q11" s="53" t="str">
        <f t="shared" si="8"/>
        <v>Single door</v>
      </c>
      <c r="R11" s="53">
        <f t="shared" si="9"/>
        <v>-32</v>
      </c>
      <c r="S11" s="53" t="str">
        <f t="shared" si="10"/>
        <v>Single door</v>
      </c>
      <c r="T11" s="53">
        <f t="shared" si="11"/>
        <v>0</v>
      </c>
      <c r="U11" s="53" t="str">
        <f t="shared" si="12"/>
        <v>Single 2m track only</v>
      </c>
      <c r="V11" s="53" t="str">
        <f>IF('Order form'!K16="Yes (+£5 per cassette)","YES","NO")</f>
        <v>NO</v>
      </c>
      <c r="W11" s="53">
        <f>'Order form'!E16</f>
        <v>0</v>
      </c>
      <c r="X11" s="53">
        <f>'Order form'!I16</f>
        <v>0</v>
      </c>
      <c r="Y11" s="53">
        <f>'Order form'!J16</f>
        <v>0</v>
      </c>
      <c r="Z11" s="53">
        <f>'Order form'!G16</f>
        <v>0</v>
      </c>
      <c r="AA11" s="53">
        <f t="shared" si="13"/>
        <v>0</v>
      </c>
      <c r="AB11" s="53">
        <f t="shared" si="14"/>
        <v>1</v>
      </c>
      <c r="AC11" s="53">
        <f t="shared" si="15"/>
        <v>0</v>
      </c>
      <c r="AD11" s="53">
        <f t="shared" si="16"/>
        <v>2000</v>
      </c>
      <c r="AE11" s="53">
        <f>'Order form'!M16</f>
        <v>0</v>
      </c>
    </row>
    <row r="12" spans="1:32" s="52" customFormat="1" ht="170.25" customHeight="1" x14ac:dyDescent="0.45">
      <c r="A12" s="50">
        <f>+'Order form'!C17</f>
        <v>0</v>
      </c>
      <c r="B12" s="50">
        <f>+'Order form'!D17</f>
        <v>0</v>
      </c>
      <c r="C12" s="51">
        <f t="shared" si="2"/>
        <v>0</v>
      </c>
      <c r="D12" s="51">
        <f t="shared" si="3"/>
        <v>-42</v>
      </c>
      <c r="E12" s="51">
        <f>+A12</f>
        <v>0</v>
      </c>
      <c r="F12" s="51">
        <f>+A12</f>
        <v>0</v>
      </c>
      <c r="G12" s="53">
        <f>+'Order form'!A17</f>
        <v>0</v>
      </c>
      <c r="H12" s="53">
        <f>+'Order form'!F17</f>
        <v>0</v>
      </c>
      <c r="I12" s="53">
        <f>+'Order form'!B17</f>
        <v>0</v>
      </c>
      <c r="J12" s="53">
        <f t="shared" si="0"/>
        <v>0</v>
      </c>
      <c r="K12" s="53">
        <f t="shared" si="0"/>
        <v>0</v>
      </c>
      <c r="L12" s="53">
        <f t="shared" si="1"/>
        <v>-20</v>
      </c>
      <c r="M12" s="53" t="str">
        <f t="shared" si="4"/>
        <v>Single door</v>
      </c>
      <c r="N12" s="53">
        <f t="shared" si="5"/>
        <v>-62</v>
      </c>
      <c r="O12" s="53" t="str">
        <f t="shared" si="6"/>
        <v>Single door</v>
      </c>
      <c r="P12" s="53">
        <f t="shared" si="7"/>
        <v>-23</v>
      </c>
      <c r="Q12" s="53" t="str">
        <f t="shared" si="8"/>
        <v>Single door</v>
      </c>
      <c r="R12" s="53">
        <f t="shared" si="9"/>
        <v>-32</v>
      </c>
      <c r="S12" s="53" t="str">
        <f t="shared" si="10"/>
        <v>Single door</v>
      </c>
      <c r="T12" s="53">
        <f t="shared" si="11"/>
        <v>0</v>
      </c>
      <c r="U12" s="53" t="str">
        <f t="shared" si="12"/>
        <v>Single 2m track only</v>
      </c>
      <c r="V12" s="53" t="str">
        <f>IF('Order form'!K17="Yes (+£5 per cassette)","YES","NO")</f>
        <v>NO</v>
      </c>
      <c r="W12" s="53">
        <f>'Order form'!E17</f>
        <v>0</v>
      </c>
      <c r="X12" s="53">
        <f>'Order form'!I17</f>
        <v>0</v>
      </c>
      <c r="Y12" s="53">
        <f>'Order form'!J17</f>
        <v>0</v>
      </c>
      <c r="Z12" s="53">
        <f>'Order form'!G17</f>
        <v>0</v>
      </c>
      <c r="AA12" s="53">
        <f t="shared" si="13"/>
        <v>0</v>
      </c>
      <c r="AB12" s="53">
        <f t="shared" si="14"/>
        <v>1</v>
      </c>
      <c r="AC12" s="53">
        <f t="shared" si="15"/>
        <v>0</v>
      </c>
      <c r="AD12" s="53">
        <f t="shared" si="16"/>
        <v>2000</v>
      </c>
      <c r="AE12" s="53">
        <f>'Order form'!M17</f>
        <v>0</v>
      </c>
    </row>
    <row r="13" spans="1:32" s="52" customFormat="1" ht="170.25" customHeight="1" x14ac:dyDescent="0.45">
      <c r="A13" s="50">
        <f>+'Order form'!C18</f>
        <v>0</v>
      </c>
      <c r="B13" s="50">
        <f>+'Order form'!D18</f>
        <v>0</v>
      </c>
      <c r="C13" s="51">
        <f t="shared" si="2"/>
        <v>0</v>
      </c>
      <c r="D13" s="51">
        <f t="shared" si="3"/>
        <v>-42</v>
      </c>
      <c r="E13" s="51">
        <f>+A13</f>
        <v>0</v>
      </c>
      <c r="F13" s="51">
        <f>+A13</f>
        <v>0</v>
      </c>
      <c r="G13" s="53">
        <f>+'Order form'!A18</f>
        <v>0</v>
      </c>
      <c r="H13" s="53">
        <f>+'Order form'!F18</f>
        <v>0</v>
      </c>
      <c r="I13" s="53">
        <f>+'Order form'!B18</f>
        <v>0</v>
      </c>
      <c r="J13" s="53">
        <f t="shared" si="0"/>
        <v>0</v>
      </c>
      <c r="K13" s="53">
        <f t="shared" si="0"/>
        <v>0</v>
      </c>
      <c r="L13" s="53">
        <f t="shared" si="1"/>
        <v>-20</v>
      </c>
      <c r="M13" s="53" t="str">
        <f t="shared" si="4"/>
        <v>Single door</v>
      </c>
      <c r="N13" s="53">
        <f t="shared" si="5"/>
        <v>-62</v>
      </c>
      <c r="O13" s="53" t="str">
        <f t="shared" si="6"/>
        <v>Single door</v>
      </c>
      <c r="P13" s="53">
        <f t="shared" si="7"/>
        <v>-23</v>
      </c>
      <c r="Q13" s="53" t="str">
        <f t="shared" si="8"/>
        <v>Single door</v>
      </c>
      <c r="R13" s="53">
        <f t="shared" si="9"/>
        <v>-32</v>
      </c>
      <c r="S13" s="53" t="str">
        <f t="shared" si="10"/>
        <v>Single door</v>
      </c>
      <c r="T13" s="53">
        <f t="shared" si="11"/>
        <v>0</v>
      </c>
      <c r="U13" s="53" t="str">
        <f t="shared" si="12"/>
        <v>Single 2m track only</v>
      </c>
      <c r="V13" s="53" t="str">
        <f>IF('Order form'!K18="Yes (+£5 per cassette)","YES","NO")</f>
        <v>NO</v>
      </c>
      <c r="W13" s="53">
        <f>'Order form'!E18</f>
        <v>0</v>
      </c>
      <c r="X13" s="53">
        <f>'Order form'!I18</f>
        <v>0</v>
      </c>
      <c r="Y13" s="53">
        <f>'Order form'!J18</f>
        <v>0</v>
      </c>
      <c r="Z13" s="53">
        <f>'Order form'!G18</f>
        <v>0</v>
      </c>
      <c r="AA13" s="53">
        <f t="shared" si="13"/>
        <v>0</v>
      </c>
      <c r="AB13" s="53">
        <f t="shared" si="14"/>
        <v>1</v>
      </c>
      <c r="AC13" s="53">
        <f t="shared" si="15"/>
        <v>0</v>
      </c>
      <c r="AD13" s="53">
        <f t="shared" si="16"/>
        <v>2000</v>
      </c>
      <c r="AE13" s="53">
        <f>'Order form'!M18</f>
        <v>0</v>
      </c>
    </row>
    <row r="14" spans="1:32" ht="30" customHeight="1" x14ac:dyDescent="0.25">
      <c r="A14" s="30" t="s">
        <v>531</v>
      </c>
      <c r="B14" s="33"/>
      <c r="C14" s="33"/>
      <c r="D14" s="33"/>
      <c r="E14" s="33"/>
      <c r="F14" s="33"/>
      <c r="G14" s="33"/>
      <c r="H14" s="33"/>
      <c r="I14" s="2"/>
      <c r="J14" s="31" t="s">
        <v>532</v>
      </c>
      <c r="K14" s="31"/>
      <c r="L14" s="31"/>
      <c r="M14" s="31"/>
      <c r="N14" s="33"/>
      <c r="O14" s="33"/>
      <c r="P14" s="33"/>
      <c r="Q14" s="33"/>
      <c r="R14" s="33"/>
      <c r="S14" s="33"/>
      <c r="T14" s="2"/>
      <c r="U14" s="2"/>
      <c r="V14" s="2"/>
      <c r="W14" s="2"/>
      <c r="X14" s="2"/>
      <c r="Y14" s="2"/>
      <c r="Z14" s="2"/>
      <c r="AA14" s="2"/>
      <c r="AB14" s="2"/>
      <c r="AC14" s="2"/>
      <c r="AD14" s="2"/>
      <c r="AE14" s="2"/>
    </row>
    <row r="15" spans="1:32" ht="199.5" customHeight="1" x14ac:dyDescent="0.25">
      <c r="A15" s="32" t="s">
        <v>309</v>
      </c>
      <c r="B15" s="32" t="s">
        <v>308</v>
      </c>
      <c r="C15" s="32" t="s">
        <v>516</v>
      </c>
      <c r="D15" s="32" t="s">
        <v>517</v>
      </c>
      <c r="E15" s="32" t="s">
        <v>518</v>
      </c>
      <c r="F15" s="32" t="s">
        <v>519</v>
      </c>
      <c r="G15" s="54" t="s">
        <v>520</v>
      </c>
      <c r="H15" s="54" t="s">
        <v>300</v>
      </c>
      <c r="I15" s="54" t="s">
        <v>521</v>
      </c>
      <c r="J15" s="54" t="s">
        <v>309</v>
      </c>
      <c r="K15" s="54" t="s">
        <v>308</v>
      </c>
      <c r="L15" s="54" t="s">
        <v>516</v>
      </c>
      <c r="M15" s="54" t="s">
        <v>517</v>
      </c>
      <c r="N15" s="54" t="s">
        <v>307</v>
      </c>
      <c r="O15" s="54" t="str">
        <f>'Order form'!G20</f>
        <v>MESH OPTIONS</v>
      </c>
      <c r="P15" s="54" t="str">
        <f>'Order form'!H20</f>
        <v>FITTING METHOD</v>
      </c>
      <c r="Q15" s="54" t="s">
        <v>533</v>
      </c>
      <c r="R15" s="54" t="s">
        <v>518</v>
      </c>
      <c r="S15" s="54" t="s">
        <v>519</v>
      </c>
      <c r="T15" s="54" t="s">
        <v>528</v>
      </c>
      <c r="U15" s="54" t="s">
        <v>529</v>
      </c>
      <c r="V15" s="55" t="s">
        <v>530</v>
      </c>
      <c r="W15" s="54"/>
      <c r="X15" s="54"/>
      <c r="Y15" s="54"/>
      <c r="Z15" s="55"/>
      <c r="AA15" s="55"/>
      <c r="AB15" s="55"/>
      <c r="AC15" s="55"/>
      <c r="AD15" s="55"/>
      <c r="AE15" s="55"/>
      <c r="AF15" s="48"/>
    </row>
    <row r="16" spans="1:32" s="52" customFormat="1" ht="80.25" customHeight="1" x14ac:dyDescent="0.45">
      <c r="A16" s="50">
        <f>+'Order form'!C21</f>
        <v>1390</v>
      </c>
      <c r="B16" s="50">
        <f>+'Order form'!D21</f>
        <v>1029</v>
      </c>
      <c r="C16" s="51">
        <f>+L16+20</f>
        <v>1406</v>
      </c>
      <c r="D16" s="51">
        <f>+M16+20</f>
        <v>1332</v>
      </c>
      <c r="E16" s="51" t="e">
        <f>+P16+20</f>
        <v>#VALUE!</v>
      </c>
      <c r="F16" s="51" t="e">
        <f>+E16</f>
        <v>#VALUE!</v>
      </c>
      <c r="G16" s="53" t="str">
        <f>'Order form'!A21</f>
        <v>Serene Window (Max 1830mm x 1980mm)</v>
      </c>
      <c r="H16" s="53" t="str">
        <f>+'Order form'!F21</f>
        <v>White</v>
      </c>
      <c r="I16" s="53">
        <f>+'Order form'!B21</f>
        <v>1</v>
      </c>
      <c r="J16" s="53">
        <f t="shared" ref="J16:J25" si="17">+A16</f>
        <v>1390</v>
      </c>
      <c r="K16" s="53">
        <f t="shared" ref="K16:K25" si="18">+B16</f>
        <v>1029</v>
      </c>
      <c r="L16" s="53">
        <f>+J16-4</f>
        <v>1386</v>
      </c>
      <c r="M16" s="53">
        <f>+J16-78</f>
        <v>1312</v>
      </c>
      <c r="N16" s="53">
        <f>+J16-16</f>
        <v>1374</v>
      </c>
      <c r="O16" s="53" t="str">
        <f>'Order form'!G21</f>
        <v>18-14 Black</v>
      </c>
      <c r="P16" s="53" t="str">
        <f>'Order form'!H21</f>
        <v>Face Fix</v>
      </c>
      <c r="Q16" s="53">
        <f>+J16-32-X16</f>
        <v>1358</v>
      </c>
      <c r="R16" s="53">
        <f t="shared" ref="R16:R25" si="19">+K16-59+W16</f>
        <v>970</v>
      </c>
      <c r="S16" s="53">
        <f>+R16</f>
        <v>970</v>
      </c>
      <c r="T16" s="53" t="str">
        <f>IF('Order form'!K21="Yes (+£5 per cassette)","YES","NO")</f>
        <v>NO</v>
      </c>
      <c r="U16" s="53" t="str">
        <f>'Order form'!E21</f>
        <v>Exact size</v>
      </c>
      <c r="V16" s="53">
        <f>'Order form'!M22</f>
        <v>0</v>
      </c>
      <c r="W16" s="53">
        <f>IF(U16="Plus 50mm",50,0)</f>
        <v>0</v>
      </c>
      <c r="X16" s="53">
        <f>IF(T16="yes",5,0)</f>
        <v>0</v>
      </c>
      <c r="Y16" s="53"/>
      <c r="Z16" s="53"/>
      <c r="AA16" s="53"/>
      <c r="AB16" s="53"/>
      <c r="AC16" s="53"/>
      <c r="AD16" s="53"/>
      <c r="AE16" s="53">
        <f>IF(AC16="Plus 50mm",50,0)</f>
        <v>0</v>
      </c>
    </row>
    <row r="17" spans="1:32" s="52" customFormat="1" ht="80.25" customHeight="1" x14ac:dyDescent="0.45">
      <c r="A17" s="50">
        <f>+'Order form'!C22</f>
        <v>1178</v>
      </c>
      <c r="B17" s="50">
        <f>+'Order form'!D22</f>
        <v>1232</v>
      </c>
      <c r="C17" s="51">
        <f t="shared" ref="C17:D25" si="20">+L17+20</f>
        <v>1194</v>
      </c>
      <c r="D17" s="51">
        <f t="shared" si="20"/>
        <v>1120</v>
      </c>
      <c r="E17" s="51" t="e">
        <f t="shared" ref="E17:E25" si="21">+P17+20</f>
        <v>#VALUE!</v>
      </c>
      <c r="F17" s="51" t="e">
        <f t="shared" ref="F17:F25" si="22">+E17</f>
        <v>#VALUE!</v>
      </c>
      <c r="G17" s="53" t="str">
        <f>'Order form'!A22</f>
        <v>Serene Window (Max 1830mm x 1980mm)</v>
      </c>
      <c r="H17" s="53" t="str">
        <f>+'Order form'!F22</f>
        <v>White</v>
      </c>
      <c r="I17" s="53">
        <f>+'Order form'!B22</f>
        <v>1</v>
      </c>
      <c r="J17" s="53">
        <f t="shared" si="17"/>
        <v>1178</v>
      </c>
      <c r="K17" s="53">
        <f t="shared" si="18"/>
        <v>1232</v>
      </c>
      <c r="L17" s="53">
        <f t="shared" ref="L17:L25" si="23">+J17-4</f>
        <v>1174</v>
      </c>
      <c r="M17" s="53">
        <f t="shared" ref="M17:M25" si="24">+J17-78</f>
        <v>1100</v>
      </c>
      <c r="N17" s="53">
        <f t="shared" ref="N17:N25" si="25">+J17-16</f>
        <v>1162</v>
      </c>
      <c r="O17" s="53" t="str">
        <f>'Order form'!G22</f>
        <v>18-14 Black</v>
      </c>
      <c r="P17" s="53" t="str">
        <f>'Order form'!H22</f>
        <v>Face Fix</v>
      </c>
      <c r="Q17" s="53" t="e">
        <f t="shared" ref="Q17:Q25" si="26">+J17-32-X17</f>
        <v>#REF!</v>
      </c>
      <c r="R17" s="53">
        <f t="shared" si="19"/>
        <v>1173</v>
      </c>
      <c r="S17" s="53">
        <f t="shared" ref="S17:S25" si="27">+R17</f>
        <v>1173</v>
      </c>
      <c r="T17" s="53" t="e">
        <f>IF('Order form'!#REF!="Yes (+£5 per cassette)","YES","NO")</f>
        <v>#REF!</v>
      </c>
      <c r="U17" s="53" t="str">
        <f>'Order form'!E22</f>
        <v>Exact size</v>
      </c>
      <c r="V17" s="53" t="e">
        <f>'Order form'!#REF!</f>
        <v>#REF!</v>
      </c>
      <c r="W17" s="53">
        <f t="shared" ref="W17:W25" si="28">IF(U17="Plus 50mm",50,0)</f>
        <v>0</v>
      </c>
      <c r="X17" s="53" t="e">
        <f t="shared" ref="X17:X25" si="29">IF(T17="yes",5,0)</f>
        <v>#REF!</v>
      </c>
      <c r="Y17" s="53"/>
      <c r="Z17" s="53"/>
      <c r="AA17" s="53"/>
      <c r="AB17" s="53"/>
      <c r="AC17" s="53"/>
      <c r="AD17" s="53"/>
      <c r="AE17" s="53"/>
    </row>
    <row r="18" spans="1:32" s="52" customFormat="1" ht="80.25" customHeight="1" x14ac:dyDescent="0.45">
      <c r="A18" s="50">
        <f>+'Order form'!C23</f>
        <v>1380</v>
      </c>
      <c r="B18" s="50">
        <f>+'Order form'!D23</f>
        <v>1025</v>
      </c>
      <c r="C18" s="51">
        <f t="shared" si="20"/>
        <v>1396</v>
      </c>
      <c r="D18" s="51">
        <f t="shared" si="20"/>
        <v>1322</v>
      </c>
      <c r="E18" s="51" t="e">
        <f t="shared" si="21"/>
        <v>#VALUE!</v>
      </c>
      <c r="F18" s="51" t="e">
        <f t="shared" si="22"/>
        <v>#VALUE!</v>
      </c>
      <c r="G18" s="53" t="str">
        <f>'Order form'!A23</f>
        <v>Serene Window (Max 1830mm x 1980mm)</v>
      </c>
      <c r="H18" s="53" t="str">
        <f>+'Order form'!F23</f>
        <v>White</v>
      </c>
      <c r="I18" s="53">
        <f>+'Order form'!B23</f>
        <v>1</v>
      </c>
      <c r="J18" s="53">
        <f t="shared" si="17"/>
        <v>1380</v>
      </c>
      <c r="K18" s="53">
        <f t="shared" si="18"/>
        <v>1025</v>
      </c>
      <c r="L18" s="53">
        <f t="shared" si="23"/>
        <v>1376</v>
      </c>
      <c r="M18" s="53">
        <f t="shared" si="24"/>
        <v>1302</v>
      </c>
      <c r="N18" s="53">
        <f t="shared" si="25"/>
        <v>1364</v>
      </c>
      <c r="O18" s="53" t="str">
        <f>'Order form'!G23</f>
        <v>18-14 Black</v>
      </c>
      <c r="P18" s="53" t="str">
        <f>'Order form'!H23</f>
        <v>Face Fix</v>
      </c>
      <c r="Q18" s="53">
        <f t="shared" si="26"/>
        <v>1348</v>
      </c>
      <c r="R18" s="53">
        <f t="shared" si="19"/>
        <v>966</v>
      </c>
      <c r="S18" s="53">
        <f t="shared" si="27"/>
        <v>966</v>
      </c>
      <c r="T18" s="53" t="str">
        <f>IF('Order form'!K22="Yes (+£5 per cassette)","YES","NO")</f>
        <v>NO</v>
      </c>
      <c r="U18" s="53" t="str">
        <f>'Order form'!E23</f>
        <v>Exact size</v>
      </c>
      <c r="V18" s="53">
        <f>'Order form'!M23</f>
        <v>0</v>
      </c>
      <c r="W18" s="53">
        <f t="shared" si="28"/>
        <v>0</v>
      </c>
      <c r="X18" s="53">
        <f t="shared" si="29"/>
        <v>0</v>
      </c>
      <c r="Y18" s="53"/>
      <c r="Z18" s="53"/>
      <c r="AA18" s="53"/>
      <c r="AB18" s="53"/>
      <c r="AC18" s="53"/>
      <c r="AD18" s="53"/>
      <c r="AE18" s="53"/>
    </row>
    <row r="19" spans="1:32" s="52" customFormat="1" ht="80.25" customHeight="1" x14ac:dyDescent="0.45">
      <c r="A19" s="50">
        <f>+'Order form'!C24</f>
        <v>0</v>
      </c>
      <c r="B19" s="50">
        <f>+'Order form'!D24</f>
        <v>0</v>
      </c>
      <c r="C19" s="51">
        <f t="shared" si="20"/>
        <v>16</v>
      </c>
      <c r="D19" s="51">
        <f t="shared" si="20"/>
        <v>-58</v>
      </c>
      <c r="E19" s="51">
        <f t="shared" si="21"/>
        <v>20</v>
      </c>
      <c r="F19" s="51">
        <f t="shared" si="22"/>
        <v>20</v>
      </c>
      <c r="G19" s="53" t="str">
        <f>'Order form'!A24</f>
        <v>Telescopic Hook</v>
      </c>
      <c r="H19" s="53">
        <f>+'Order form'!F24</f>
        <v>0</v>
      </c>
      <c r="I19" s="53">
        <f>+'Order form'!B24</f>
        <v>1</v>
      </c>
      <c r="J19" s="53">
        <f t="shared" si="17"/>
        <v>0</v>
      </c>
      <c r="K19" s="53">
        <f t="shared" si="18"/>
        <v>0</v>
      </c>
      <c r="L19" s="53">
        <f t="shared" si="23"/>
        <v>-4</v>
      </c>
      <c r="M19" s="53">
        <f t="shared" si="24"/>
        <v>-78</v>
      </c>
      <c r="N19" s="53">
        <f t="shared" si="25"/>
        <v>-16</v>
      </c>
      <c r="O19" s="53">
        <f>'Order form'!G24</f>
        <v>0</v>
      </c>
      <c r="P19" s="53">
        <f>'Order form'!H24</f>
        <v>0</v>
      </c>
      <c r="Q19" s="53">
        <f t="shared" si="26"/>
        <v>-32</v>
      </c>
      <c r="R19" s="53">
        <f t="shared" si="19"/>
        <v>-59</v>
      </c>
      <c r="S19" s="53">
        <f t="shared" si="27"/>
        <v>-59</v>
      </c>
      <c r="T19" s="53" t="str">
        <f>IF('Order form'!K23="Yes (+£5 per cassette)","YES","NO")</f>
        <v>NO</v>
      </c>
      <c r="U19" s="53">
        <f>'Order form'!E24</f>
        <v>0</v>
      </c>
      <c r="V19" s="53">
        <f>'Order form'!M24</f>
        <v>0</v>
      </c>
      <c r="W19" s="53">
        <f t="shared" si="28"/>
        <v>0</v>
      </c>
      <c r="X19" s="53">
        <f t="shared" si="29"/>
        <v>0</v>
      </c>
      <c r="Y19" s="53"/>
      <c r="Z19" s="53"/>
      <c r="AA19" s="53"/>
      <c r="AB19" s="53"/>
      <c r="AC19" s="53"/>
      <c r="AD19" s="53"/>
      <c r="AE19" s="53"/>
    </row>
    <row r="20" spans="1:32" s="52" customFormat="1" ht="80.25" customHeight="1" x14ac:dyDescent="0.45">
      <c r="A20" s="50">
        <f>+'Order form'!C25</f>
        <v>0</v>
      </c>
      <c r="B20" s="50">
        <f>+'Order form'!D25</f>
        <v>0</v>
      </c>
      <c r="C20" s="51">
        <f t="shared" si="20"/>
        <v>16</v>
      </c>
      <c r="D20" s="51">
        <f t="shared" si="20"/>
        <v>-58</v>
      </c>
      <c r="E20" s="51">
        <f t="shared" si="21"/>
        <v>20</v>
      </c>
      <c r="F20" s="51">
        <f t="shared" si="22"/>
        <v>20</v>
      </c>
      <c r="G20" s="53">
        <f>'Order form'!A25</f>
        <v>0</v>
      </c>
      <c r="H20" s="53">
        <f>+'Order form'!F25</f>
        <v>0</v>
      </c>
      <c r="I20" s="53">
        <f>+'Order form'!B25</f>
        <v>0</v>
      </c>
      <c r="J20" s="53">
        <f t="shared" si="17"/>
        <v>0</v>
      </c>
      <c r="K20" s="53">
        <f t="shared" si="18"/>
        <v>0</v>
      </c>
      <c r="L20" s="53">
        <f t="shared" si="23"/>
        <v>-4</v>
      </c>
      <c r="M20" s="53">
        <f t="shared" si="24"/>
        <v>-78</v>
      </c>
      <c r="N20" s="53">
        <f t="shared" si="25"/>
        <v>-16</v>
      </c>
      <c r="O20" s="53">
        <f>'Order form'!G25</f>
        <v>0</v>
      </c>
      <c r="P20" s="53">
        <f>'Order form'!H25</f>
        <v>0</v>
      </c>
      <c r="Q20" s="53">
        <f t="shared" si="26"/>
        <v>-32</v>
      </c>
      <c r="R20" s="53">
        <f t="shared" si="19"/>
        <v>-59</v>
      </c>
      <c r="S20" s="53">
        <f t="shared" si="27"/>
        <v>-59</v>
      </c>
      <c r="T20" s="53" t="str">
        <f>IF('Order form'!K25="Yes (+£5 per cassette)","YES","NO")</f>
        <v>NO</v>
      </c>
      <c r="U20" s="53">
        <f>'Order form'!E25</f>
        <v>0</v>
      </c>
      <c r="V20" s="53">
        <f>'Order form'!M25</f>
        <v>0</v>
      </c>
      <c r="W20" s="53">
        <f t="shared" si="28"/>
        <v>0</v>
      </c>
      <c r="X20" s="53">
        <f t="shared" si="29"/>
        <v>0</v>
      </c>
      <c r="Y20" s="53"/>
      <c r="Z20" s="53"/>
      <c r="AA20" s="53"/>
      <c r="AB20" s="53"/>
      <c r="AC20" s="53"/>
      <c r="AD20" s="53"/>
      <c r="AE20" s="53"/>
    </row>
    <row r="21" spans="1:32" s="52" customFormat="1" ht="80.25" customHeight="1" x14ac:dyDescent="0.45">
      <c r="A21" s="50">
        <f>+'Order form'!C26</f>
        <v>0</v>
      </c>
      <c r="B21" s="50">
        <f>+'Order form'!D26</f>
        <v>0</v>
      </c>
      <c r="C21" s="51">
        <f t="shared" si="20"/>
        <v>16</v>
      </c>
      <c r="D21" s="51">
        <f t="shared" si="20"/>
        <v>-58</v>
      </c>
      <c r="E21" s="51">
        <f t="shared" si="21"/>
        <v>20</v>
      </c>
      <c r="F21" s="51">
        <f t="shared" si="22"/>
        <v>20</v>
      </c>
      <c r="G21" s="53">
        <f>'Order form'!A26</f>
        <v>0</v>
      </c>
      <c r="H21" s="53">
        <f>+'Order form'!F26</f>
        <v>0</v>
      </c>
      <c r="I21" s="53">
        <f>+'Order form'!B26</f>
        <v>0</v>
      </c>
      <c r="J21" s="53">
        <f t="shared" si="17"/>
        <v>0</v>
      </c>
      <c r="K21" s="53">
        <f t="shared" si="18"/>
        <v>0</v>
      </c>
      <c r="L21" s="53">
        <f t="shared" si="23"/>
        <v>-4</v>
      </c>
      <c r="M21" s="53">
        <f t="shared" si="24"/>
        <v>-78</v>
      </c>
      <c r="N21" s="53">
        <f t="shared" si="25"/>
        <v>-16</v>
      </c>
      <c r="O21" s="53">
        <f>'Order form'!G26</f>
        <v>0</v>
      </c>
      <c r="P21" s="53">
        <f>'Order form'!H26</f>
        <v>0</v>
      </c>
      <c r="Q21" s="53">
        <f t="shared" si="26"/>
        <v>-32</v>
      </c>
      <c r="R21" s="53">
        <f t="shared" si="19"/>
        <v>-59</v>
      </c>
      <c r="S21" s="53">
        <f t="shared" si="27"/>
        <v>-59</v>
      </c>
      <c r="T21" s="53" t="str">
        <f>IF('Order form'!K26="Yes (+£5 per cassette)","YES","NO")</f>
        <v>NO</v>
      </c>
      <c r="U21" s="53">
        <f>'Order form'!E26</f>
        <v>0</v>
      </c>
      <c r="V21" s="53">
        <f>'Order form'!M26</f>
        <v>0</v>
      </c>
      <c r="W21" s="53">
        <f t="shared" si="28"/>
        <v>0</v>
      </c>
      <c r="X21" s="53">
        <f t="shared" si="29"/>
        <v>0</v>
      </c>
      <c r="Y21" s="53"/>
      <c r="Z21" s="53"/>
      <c r="AA21" s="53"/>
      <c r="AB21" s="53"/>
      <c r="AC21" s="53"/>
      <c r="AD21" s="53"/>
      <c r="AE21" s="53"/>
    </row>
    <row r="22" spans="1:32" s="52" customFormat="1" ht="80.25" customHeight="1" x14ac:dyDescent="0.45">
      <c r="A22" s="50">
        <f>+'Order form'!C27</f>
        <v>0</v>
      </c>
      <c r="B22" s="50">
        <f>+'Order form'!D27</f>
        <v>0</v>
      </c>
      <c r="C22" s="51">
        <f t="shared" si="20"/>
        <v>16</v>
      </c>
      <c r="D22" s="51">
        <f t="shared" si="20"/>
        <v>-58</v>
      </c>
      <c r="E22" s="51">
        <f t="shared" si="21"/>
        <v>20</v>
      </c>
      <c r="F22" s="51">
        <f t="shared" si="22"/>
        <v>20</v>
      </c>
      <c r="G22" s="53">
        <f>'Order form'!A27</f>
        <v>0</v>
      </c>
      <c r="H22" s="53">
        <f>+'Order form'!F27</f>
        <v>0</v>
      </c>
      <c r="I22" s="53">
        <f>+'Order form'!B27</f>
        <v>0</v>
      </c>
      <c r="J22" s="53">
        <f t="shared" si="17"/>
        <v>0</v>
      </c>
      <c r="K22" s="53">
        <f t="shared" si="18"/>
        <v>0</v>
      </c>
      <c r="L22" s="53">
        <f t="shared" si="23"/>
        <v>-4</v>
      </c>
      <c r="M22" s="53">
        <f t="shared" si="24"/>
        <v>-78</v>
      </c>
      <c r="N22" s="53">
        <f t="shared" si="25"/>
        <v>-16</v>
      </c>
      <c r="O22" s="53">
        <f>'Order form'!G27</f>
        <v>0</v>
      </c>
      <c r="P22" s="53">
        <f>'Order form'!H27</f>
        <v>0</v>
      </c>
      <c r="Q22" s="53">
        <f t="shared" si="26"/>
        <v>-32</v>
      </c>
      <c r="R22" s="53">
        <f t="shared" si="19"/>
        <v>-59</v>
      </c>
      <c r="S22" s="53">
        <f t="shared" si="27"/>
        <v>-59</v>
      </c>
      <c r="T22" s="53" t="str">
        <f>IF('Order form'!K28="Yes (+£5 per cassette)","YES","NO")</f>
        <v>NO</v>
      </c>
      <c r="U22" s="53">
        <f>'Order form'!E27</f>
        <v>0</v>
      </c>
      <c r="V22" s="53">
        <f>'Order form'!M27</f>
        <v>0</v>
      </c>
      <c r="W22" s="53">
        <f t="shared" si="28"/>
        <v>0</v>
      </c>
      <c r="X22" s="53">
        <f t="shared" si="29"/>
        <v>0</v>
      </c>
      <c r="Y22" s="53"/>
      <c r="Z22" s="53"/>
      <c r="AA22" s="53"/>
      <c r="AB22" s="53"/>
      <c r="AC22" s="53"/>
      <c r="AD22" s="53"/>
      <c r="AE22" s="53"/>
    </row>
    <row r="23" spans="1:32" s="52" customFormat="1" ht="80.25" customHeight="1" x14ac:dyDescent="0.45">
      <c r="A23" s="50">
        <f>+'Order form'!C28</f>
        <v>0</v>
      </c>
      <c r="B23" s="50">
        <f>+'Order form'!D28</f>
        <v>0</v>
      </c>
      <c r="C23" s="51">
        <f t="shared" si="20"/>
        <v>16</v>
      </c>
      <c r="D23" s="51">
        <f t="shared" si="20"/>
        <v>-58</v>
      </c>
      <c r="E23" s="51">
        <f t="shared" si="21"/>
        <v>20</v>
      </c>
      <c r="F23" s="51">
        <f t="shared" si="22"/>
        <v>20</v>
      </c>
      <c r="G23" s="53">
        <f>'Order form'!A28</f>
        <v>0</v>
      </c>
      <c r="H23" s="53">
        <f>+'Order form'!F28</f>
        <v>0</v>
      </c>
      <c r="I23" s="53">
        <f>+'Order form'!B28</f>
        <v>0</v>
      </c>
      <c r="J23" s="53">
        <f t="shared" si="17"/>
        <v>0</v>
      </c>
      <c r="K23" s="53">
        <f t="shared" si="18"/>
        <v>0</v>
      </c>
      <c r="L23" s="53">
        <f t="shared" si="23"/>
        <v>-4</v>
      </c>
      <c r="M23" s="53">
        <f t="shared" si="24"/>
        <v>-78</v>
      </c>
      <c r="N23" s="53">
        <f t="shared" si="25"/>
        <v>-16</v>
      </c>
      <c r="O23" s="53">
        <f>'Order form'!G28</f>
        <v>0</v>
      </c>
      <c r="P23" s="53">
        <f>'Order form'!H28</f>
        <v>0</v>
      </c>
      <c r="Q23" s="53" t="e">
        <f t="shared" si="26"/>
        <v>#REF!</v>
      </c>
      <c r="R23" s="53">
        <f t="shared" si="19"/>
        <v>-59</v>
      </c>
      <c r="S23" s="53">
        <f t="shared" si="27"/>
        <v>-59</v>
      </c>
      <c r="T23" s="53" t="e">
        <f>IF('Order form'!#REF!="Yes (+£5 per cassette)","YES","NO")</f>
        <v>#REF!</v>
      </c>
      <c r="U23" s="53">
        <f>'Order form'!E28</f>
        <v>0</v>
      </c>
      <c r="V23" s="53">
        <f>'Order form'!M28</f>
        <v>0</v>
      </c>
      <c r="W23" s="53">
        <f t="shared" si="28"/>
        <v>0</v>
      </c>
      <c r="X23" s="53" t="e">
        <f t="shared" si="29"/>
        <v>#REF!</v>
      </c>
      <c r="Y23" s="53"/>
      <c r="Z23" s="53"/>
      <c r="AA23" s="53"/>
      <c r="AB23" s="53"/>
      <c r="AC23" s="53"/>
      <c r="AD23" s="53"/>
      <c r="AE23" s="53"/>
    </row>
    <row r="24" spans="1:32" s="52" customFormat="1" ht="80.25" customHeight="1" x14ac:dyDescent="0.45">
      <c r="A24" s="50">
        <f>+'Order form'!C29</f>
        <v>0</v>
      </c>
      <c r="B24" s="50">
        <f>+'Order form'!D29</f>
        <v>0</v>
      </c>
      <c r="C24" s="51">
        <f t="shared" si="20"/>
        <v>16</v>
      </c>
      <c r="D24" s="51">
        <f t="shared" si="20"/>
        <v>-58</v>
      </c>
      <c r="E24" s="51">
        <f t="shared" si="21"/>
        <v>20</v>
      </c>
      <c r="F24" s="51">
        <f t="shared" si="22"/>
        <v>20</v>
      </c>
      <c r="G24" s="53">
        <f>'Order form'!A29</f>
        <v>0</v>
      </c>
      <c r="H24" s="53">
        <f>+'Order form'!F29</f>
        <v>0</v>
      </c>
      <c r="I24" s="53">
        <f>+'Order form'!B29</f>
        <v>0</v>
      </c>
      <c r="J24" s="53">
        <f t="shared" si="17"/>
        <v>0</v>
      </c>
      <c r="K24" s="53">
        <f t="shared" si="18"/>
        <v>0</v>
      </c>
      <c r="L24" s="53">
        <f t="shared" si="23"/>
        <v>-4</v>
      </c>
      <c r="M24" s="53">
        <f t="shared" si="24"/>
        <v>-78</v>
      </c>
      <c r="N24" s="53">
        <f t="shared" si="25"/>
        <v>-16</v>
      </c>
      <c r="O24" s="53">
        <f>'Order form'!G29</f>
        <v>0</v>
      </c>
      <c r="P24" s="53">
        <f>'Order form'!H29</f>
        <v>0</v>
      </c>
      <c r="Q24" s="53">
        <f t="shared" si="26"/>
        <v>-32</v>
      </c>
      <c r="R24" s="53">
        <f t="shared" si="19"/>
        <v>-59</v>
      </c>
      <c r="S24" s="53">
        <f t="shared" si="27"/>
        <v>-59</v>
      </c>
      <c r="T24" s="53" t="str">
        <f>IF('Order form'!K30="Yes (+£5 per cassette)","YES","NO")</f>
        <v>NO</v>
      </c>
      <c r="U24" s="53">
        <f>'Order form'!E29</f>
        <v>0</v>
      </c>
      <c r="V24" s="53">
        <f>'Order form'!M29</f>
        <v>0</v>
      </c>
      <c r="W24" s="53">
        <f t="shared" si="28"/>
        <v>0</v>
      </c>
      <c r="X24" s="53">
        <f t="shared" si="29"/>
        <v>0</v>
      </c>
      <c r="Y24" s="53"/>
      <c r="Z24" s="53"/>
      <c r="AA24" s="53"/>
      <c r="AB24" s="53"/>
      <c r="AC24" s="53"/>
      <c r="AD24" s="53"/>
      <c r="AE24" s="53"/>
    </row>
    <row r="25" spans="1:32" s="52" customFormat="1" ht="80.25" customHeight="1" x14ac:dyDescent="0.45">
      <c r="A25" s="50">
        <f>+'Order form'!C30</f>
        <v>0</v>
      </c>
      <c r="B25" s="50">
        <f>+'Order form'!D30</f>
        <v>0</v>
      </c>
      <c r="C25" s="51">
        <f t="shared" si="20"/>
        <v>16</v>
      </c>
      <c r="D25" s="51">
        <f t="shared" si="20"/>
        <v>-58</v>
      </c>
      <c r="E25" s="51">
        <f t="shared" si="21"/>
        <v>20</v>
      </c>
      <c r="F25" s="51">
        <f t="shared" si="22"/>
        <v>20</v>
      </c>
      <c r="G25" s="53">
        <f>'Order form'!A30</f>
        <v>0</v>
      </c>
      <c r="H25" s="53">
        <f>+'Order form'!F30</f>
        <v>0</v>
      </c>
      <c r="I25" s="53">
        <f>+'Order form'!B30</f>
        <v>0</v>
      </c>
      <c r="J25" s="53">
        <f t="shared" si="17"/>
        <v>0</v>
      </c>
      <c r="K25" s="53">
        <f t="shared" si="18"/>
        <v>0</v>
      </c>
      <c r="L25" s="53">
        <f t="shared" si="23"/>
        <v>-4</v>
      </c>
      <c r="M25" s="53">
        <f t="shared" si="24"/>
        <v>-78</v>
      </c>
      <c r="N25" s="53">
        <f t="shared" si="25"/>
        <v>-16</v>
      </c>
      <c r="O25" s="53">
        <f>'Order form'!G30</f>
        <v>0</v>
      </c>
      <c r="P25" s="53">
        <f>'Order form'!H30</f>
        <v>0</v>
      </c>
      <c r="Q25" s="53" t="e">
        <f t="shared" si="26"/>
        <v>#REF!</v>
      </c>
      <c r="R25" s="53">
        <f t="shared" si="19"/>
        <v>-59</v>
      </c>
      <c r="S25" s="53">
        <f t="shared" si="27"/>
        <v>-59</v>
      </c>
      <c r="T25" s="53" t="e">
        <f>IF('Order form'!#REF!="Yes (+£5 per cassette)","YES","NO")</f>
        <v>#REF!</v>
      </c>
      <c r="U25" s="53">
        <f>'Order form'!E30</f>
        <v>0</v>
      </c>
      <c r="V25" s="53">
        <f>'Order form'!M30</f>
        <v>0</v>
      </c>
      <c r="W25" s="53">
        <f t="shared" si="28"/>
        <v>0</v>
      </c>
      <c r="X25" s="53" t="e">
        <f t="shared" si="29"/>
        <v>#REF!</v>
      </c>
      <c r="Y25" s="53"/>
      <c r="Z25" s="53"/>
      <c r="AA25" s="53"/>
      <c r="AB25" s="53"/>
      <c r="AC25" s="53"/>
      <c r="AD25" s="53"/>
      <c r="AE25" s="53"/>
    </row>
    <row r="26" spans="1:32" ht="30" customHeight="1" x14ac:dyDescent="0.25">
      <c r="A26" s="30" t="s">
        <v>534</v>
      </c>
      <c r="B26" s="2"/>
      <c r="C26" s="2"/>
      <c r="D26" s="2"/>
      <c r="E26" s="2"/>
      <c r="F26" s="2"/>
      <c r="G26" s="2"/>
      <c r="H26" s="2"/>
      <c r="I26" s="2"/>
      <c r="J26" s="31" t="s">
        <v>535</v>
      </c>
      <c r="K26" s="31"/>
      <c r="L26" s="31"/>
      <c r="M26" s="31"/>
      <c r="N26" s="2"/>
      <c r="O26" s="2"/>
      <c r="P26" s="2"/>
      <c r="Q26" s="2"/>
      <c r="R26" s="2"/>
      <c r="S26" s="2"/>
      <c r="T26" s="2"/>
      <c r="U26" s="2"/>
      <c r="V26" s="2"/>
      <c r="W26" s="2"/>
      <c r="X26" s="2"/>
      <c r="Y26" s="2"/>
      <c r="Z26" s="2"/>
      <c r="AA26" s="2"/>
      <c r="AB26" s="2"/>
      <c r="AC26" s="2"/>
      <c r="AD26" s="2"/>
      <c r="AE26" s="2"/>
    </row>
    <row r="27" spans="1:32" ht="199.5" customHeight="1" x14ac:dyDescent="0.25">
      <c r="A27" s="32" t="s">
        <v>536</v>
      </c>
      <c r="B27" s="32"/>
      <c r="C27" s="32"/>
      <c r="D27" s="32"/>
      <c r="E27" s="32"/>
      <c r="F27" s="32"/>
      <c r="G27" s="54" t="s">
        <v>520</v>
      </c>
      <c r="H27" s="54" t="s">
        <v>300</v>
      </c>
      <c r="I27" s="54" t="s">
        <v>521</v>
      </c>
      <c r="J27" s="54" t="s">
        <v>309</v>
      </c>
      <c r="K27" s="54" t="s">
        <v>308</v>
      </c>
      <c r="L27" s="54" t="s">
        <v>537</v>
      </c>
      <c r="M27" s="54" t="s">
        <v>538</v>
      </c>
      <c r="N27" s="54" t="s">
        <v>539</v>
      </c>
      <c r="O27" s="54" t="s">
        <v>540</v>
      </c>
      <c r="P27" s="54" t="s">
        <v>541</v>
      </c>
      <c r="Q27" s="54" t="s">
        <v>542</v>
      </c>
      <c r="R27" s="54" t="s">
        <v>543</v>
      </c>
      <c r="S27" s="54" t="s">
        <v>544</v>
      </c>
      <c r="T27" s="54" t="s">
        <v>545</v>
      </c>
      <c r="U27" s="54" t="s">
        <v>546</v>
      </c>
      <c r="V27" s="54" t="s">
        <v>547</v>
      </c>
      <c r="W27" s="54" t="s">
        <v>548</v>
      </c>
      <c r="X27" s="54" t="s">
        <v>549</v>
      </c>
      <c r="Y27" s="55" t="s">
        <v>530</v>
      </c>
      <c r="Z27" s="55"/>
      <c r="AA27" s="55"/>
      <c r="AB27" s="55"/>
      <c r="AC27" s="55"/>
      <c r="AD27" s="55"/>
      <c r="AE27" s="55"/>
      <c r="AF27" s="48"/>
    </row>
    <row r="28" spans="1:32" s="52" customFormat="1" ht="80.25" customHeight="1" x14ac:dyDescent="0.45">
      <c r="A28" s="50"/>
      <c r="B28" s="50"/>
      <c r="C28" s="51"/>
      <c r="D28" s="51"/>
      <c r="E28" s="51"/>
      <c r="F28" s="51"/>
      <c r="G28" s="53">
        <f>'Order form'!A33</f>
        <v>0</v>
      </c>
      <c r="H28" s="53">
        <f>'Order form'!F33</f>
        <v>0</v>
      </c>
      <c r="I28" s="53">
        <f>+'Order form'!B33</f>
        <v>0</v>
      </c>
      <c r="J28" s="53">
        <f>+'Order form'!C33</f>
        <v>0</v>
      </c>
      <c r="K28" s="53">
        <f>+'Order form'!D33</f>
        <v>0</v>
      </c>
      <c r="L28" s="53">
        <f t="shared" ref="L28:L32" si="30">+IF(J28&gt;2000,(J28/2)-6,(J28/1)-13)</f>
        <v>-13</v>
      </c>
      <c r="M28" s="53" t="str">
        <f>+IF(J28&gt;2000,(J28/2)-6,"NA Single door")</f>
        <v>NA Single door</v>
      </c>
      <c r="N28" s="53">
        <f>+IF(J28&gt;2000,(J28/2)-13,(L28/1)-16)</f>
        <v>-29</v>
      </c>
      <c r="O28" s="53" t="str">
        <f>+IF(J28&gt;2000,(J28/2)-13,"NA Single door")</f>
        <v>NA Single door</v>
      </c>
      <c r="P28" s="53">
        <f>+IF(J28&gt;2000,(J28/2)-6,(J28/1)-16)</f>
        <v>-16</v>
      </c>
      <c r="Q28" s="53" t="str">
        <f>+IF(J28&gt;2000,(J28/2)-6,"NA Single door")</f>
        <v>NA Single door</v>
      </c>
      <c r="R28" s="53">
        <f>+IF(J28&gt;2000,K28-25,K28-25)</f>
        <v>-25</v>
      </c>
      <c r="S28" s="53" t="str">
        <f>+IF(J28&gt;2000,K28-25,"NA Single door")</f>
        <v>NA Single door</v>
      </c>
      <c r="T28" s="53">
        <f>+IF(J28&gt;2000,K28-25,K28-25)</f>
        <v>-25</v>
      </c>
      <c r="U28" s="53" t="str">
        <f>+IF(J28&gt;2000,K28-25,"NA Single door")</f>
        <v>NA Single door</v>
      </c>
      <c r="V28" s="53">
        <f>+IF(J28&gt;2000,K28-51,K28-51)</f>
        <v>-51</v>
      </c>
      <c r="W28" s="53" t="str">
        <f>+IF(J28&gt;2000,K28-51,"NA Single door")</f>
        <v>NA Single door</v>
      </c>
      <c r="X28" s="53">
        <f t="shared" ref="X28:X33" si="31">+IF(J28&gt;2000,"NA Double door",K28-16)</f>
        <v>-16</v>
      </c>
      <c r="Y28" s="53">
        <f>'Order form'!M33</f>
        <v>0</v>
      </c>
      <c r="Z28" s="53"/>
      <c r="AA28" s="53"/>
      <c r="AB28" s="53"/>
      <c r="AC28" s="53"/>
      <c r="AD28" s="53"/>
      <c r="AE28" s="53"/>
    </row>
    <row r="29" spans="1:32" s="52" customFormat="1" ht="80.25" customHeight="1" x14ac:dyDescent="0.45">
      <c r="A29" s="50"/>
      <c r="B29" s="50"/>
      <c r="C29" s="51"/>
      <c r="D29" s="51"/>
      <c r="E29" s="51"/>
      <c r="F29" s="51"/>
      <c r="G29" s="53">
        <f>'Order form'!A34</f>
        <v>0</v>
      </c>
      <c r="H29" s="53">
        <f>'Order form'!F34</f>
        <v>0</v>
      </c>
      <c r="I29" s="53">
        <f>+'Order form'!B34</f>
        <v>0</v>
      </c>
      <c r="J29" s="53">
        <f>+'Order form'!C34</f>
        <v>0</v>
      </c>
      <c r="K29" s="53">
        <f>+'Order form'!D34</f>
        <v>0</v>
      </c>
      <c r="L29" s="53">
        <f t="shared" si="30"/>
        <v>-13</v>
      </c>
      <c r="M29" s="53" t="str">
        <f t="shared" ref="M29:M32" si="32">+IF(J29&gt;2000,(J29/2)-6,"NA Single door")</f>
        <v>NA Single door</v>
      </c>
      <c r="N29" s="53">
        <f t="shared" ref="N29:N32" si="33">+IF(J29&gt;2000,(J29/2)-13,(L29/1)-16)</f>
        <v>-29</v>
      </c>
      <c r="O29" s="53" t="str">
        <f t="shared" ref="O29:O32" si="34">+IF(J29&gt;2000,(J29/2)-13,"NA Single door")</f>
        <v>NA Single door</v>
      </c>
      <c r="P29" s="53">
        <f t="shared" ref="P29:P32" si="35">+IF(J29&gt;2000,(J29/2)-6,(J29/1)-16)</f>
        <v>-16</v>
      </c>
      <c r="Q29" s="53" t="str">
        <f t="shared" ref="Q29:Q32" si="36">+IF(J29&gt;2000,(J29/2)-6,"NA Single door")</f>
        <v>NA Single door</v>
      </c>
      <c r="R29" s="53">
        <f t="shared" ref="R29:R32" si="37">+IF(J29&gt;2000,K29-25,K29-25)</f>
        <v>-25</v>
      </c>
      <c r="S29" s="53" t="str">
        <f t="shared" ref="S29:S32" si="38">+IF(J29&gt;2000,K29-25,"NA Single door")</f>
        <v>NA Single door</v>
      </c>
      <c r="T29" s="53">
        <f t="shared" ref="T29:T32" si="39">+IF(J29&gt;2000,K29-25,K29-25)</f>
        <v>-25</v>
      </c>
      <c r="U29" s="53" t="str">
        <f t="shared" ref="U29:U32" si="40">+IF(J29&gt;2000,K29-25,"NA Single door")</f>
        <v>NA Single door</v>
      </c>
      <c r="V29" s="53">
        <f t="shared" ref="V29:V32" si="41">+IF(J29&gt;2000,K29-51,K29-51)</f>
        <v>-51</v>
      </c>
      <c r="W29" s="53" t="str">
        <f t="shared" ref="W29:W32" si="42">+IF(J29&gt;2000,K29-51,"NA Single door")</f>
        <v>NA Single door</v>
      </c>
      <c r="X29" s="53">
        <f t="shared" si="31"/>
        <v>-16</v>
      </c>
      <c r="Y29" s="53">
        <f>'Order form'!M34</f>
        <v>0</v>
      </c>
      <c r="Z29" s="53"/>
      <c r="AA29" s="53"/>
      <c r="AB29" s="53"/>
      <c r="AC29" s="53"/>
      <c r="AD29" s="53"/>
      <c r="AE29" s="53"/>
    </row>
    <row r="30" spans="1:32" s="52" customFormat="1" ht="80.25" customHeight="1" x14ac:dyDescent="0.45">
      <c r="A30" s="50"/>
      <c r="B30" s="50"/>
      <c r="C30" s="51"/>
      <c r="D30" s="51"/>
      <c r="E30" s="51"/>
      <c r="F30" s="51"/>
      <c r="G30" s="53">
        <f>'Order form'!A35</f>
        <v>0</v>
      </c>
      <c r="H30" s="53">
        <f>'Order form'!F35</f>
        <v>0</v>
      </c>
      <c r="I30" s="53">
        <f>+'Order form'!B35</f>
        <v>0</v>
      </c>
      <c r="J30" s="53">
        <f>+'Order form'!C35</f>
        <v>0</v>
      </c>
      <c r="K30" s="53">
        <f>+'Order form'!D35</f>
        <v>0</v>
      </c>
      <c r="L30" s="53">
        <f t="shared" si="30"/>
        <v>-13</v>
      </c>
      <c r="M30" s="53" t="str">
        <f t="shared" si="32"/>
        <v>NA Single door</v>
      </c>
      <c r="N30" s="53">
        <f t="shared" si="33"/>
        <v>-29</v>
      </c>
      <c r="O30" s="53" t="str">
        <f t="shared" si="34"/>
        <v>NA Single door</v>
      </c>
      <c r="P30" s="53">
        <f t="shared" si="35"/>
        <v>-16</v>
      </c>
      <c r="Q30" s="53" t="str">
        <f t="shared" si="36"/>
        <v>NA Single door</v>
      </c>
      <c r="R30" s="53">
        <f t="shared" si="37"/>
        <v>-25</v>
      </c>
      <c r="S30" s="53" t="str">
        <f t="shared" si="38"/>
        <v>NA Single door</v>
      </c>
      <c r="T30" s="53">
        <f t="shared" si="39"/>
        <v>-25</v>
      </c>
      <c r="U30" s="53" t="str">
        <f t="shared" si="40"/>
        <v>NA Single door</v>
      </c>
      <c r="V30" s="53">
        <f t="shared" si="41"/>
        <v>-51</v>
      </c>
      <c r="W30" s="53" t="str">
        <f t="shared" si="42"/>
        <v>NA Single door</v>
      </c>
      <c r="X30" s="53">
        <f t="shared" si="31"/>
        <v>-16</v>
      </c>
      <c r="Y30" s="53">
        <f>'Order form'!M35</f>
        <v>0</v>
      </c>
      <c r="Z30" s="53"/>
      <c r="AA30" s="53"/>
      <c r="AB30" s="53"/>
      <c r="AC30" s="53"/>
      <c r="AD30" s="53"/>
      <c r="AE30" s="53"/>
    </row>
    <row r="31" spans="1:32" s="52" customFormat="1" ht="80.25" customHeight="1" x14ac:dyDescent="0.45">
      <c r="A31" s="50"/>
      <c r="B31" s="50"/>
      <c r="C31" s="51"/>
      <c r="D31" s="51"/>
      <c r="E31" s="51"/>
      <c r="F31" s="51"/>
      <c r="G31" s="53">
        <f>'Order form'!A36</f>
        <v>0</v>
      </c>
      <c r="H31" s="53">
        <f>'Order form'!F36</f>
        <v>0</v>
      </c>
      <c r="I31" s="53">
        <f>+'Order form'!B36</f>
        <v>0</v>
      </c>
      <c r="J31" s="53">
        <f>+'Order form'!C36</f>
        <v>0</v>
      </c>
      <c r="K31" s="53">
        <f>+'Order form'!D36</f>
        <v>0</v>
      </c>
      <c r="L31" s="53">
        <f t="shared" si="30"/>
        <v>-13</v>
      </c>
      <c r="M31" s="53" t="str">
        <f t="shared" si="32"/>
        <v>NA Single door</v>
      </c>
      <c r="N31" s="53">
        <f t="shared" si="33"/>
        <v>-29</v>
      </c>
      <c r="O31" s="53" t="str">
        <f t="shared" si="34"/>
        <v>NA Single door</v>
      </c>
      <c r="P31" s="53">
        <f t="shared" si="35"/>
        <v>-16</v>
      </c>
      <c r="Q31" s="53" t="str">
        <f t="shared" si="36"/>
        <v>NA Single door</v>
      </c>
      <c r="R31" s="53">
        <f t="shared" si="37"/>
        <v>-25</v>
      </c>
      <c r="S31" s="53" t="str">
        <f t="shared" si="38"/>
        <v>NA Single door</v>
      </c>
      <c r="T31" s="53">
        <f t="shared" si="39"/>
        <v>-25</v>
      </c>
      <c r="U31" s="53" t="str">
        <f t="shared" si="40"/>
        <v>NA Single door</v>
      </c>
      <c r="V31" s="53">
        <f t="shared" si="41"/>
        <v>-51</v>
      </c>
      <c r="W31" s="53" t="str">
        <f t="shared" si="42"/>
        <v>NA Single door</v>
      </c>
      <c r="X31" s="53">
        <f t="shared" si="31"/>
        <v>-16</v>
      </c>
      <c r="Y31" s="53">
        <f>'Order form'!M36</f>
        <v>0</v>
      </c>
      <c r="Z31" s="53"/>
      <c r="AA31" s="53"/>
      <c r="AB31" s="53"/>
      <c r="AC31" s="53"/>
      <c r="AD31" s="53"/>
      <c r="AE31" s="53"/>
    </row>
    <row r="32" spans="1:32" s="52" customFormat="1" ht="80.25" customHeight="1" x14ac:dyDescent="0.45">
      <c r="A32" s="50"/>
      <c r="B32" s="50"/>
      <c r="C32" s="51"/>
      <c r="D32" s="51"/>
      <c r="E32" s="51"/>
      <c r="F32" s="51"/>
      <c r="G32" s="53">
        <f>'Order form'!A37</f>
        <v>0</v>
      </c>
      <c r="H32" s="53">
        <f>'Order form'!F37</f>
        <v>0</v>
      </c>
      <c r="I32" s="53">
        <f>+'Order form'!B37</f>
        <v>0</v>
      </c>
      <c r="J32" s="53">
        <f>+'Order form'!C37</f>
        <v>0</v>
      </c>
      <c r="K32" s="53">
        <f>+'Order form'!D37</f>
        <v>0</v>
      </c>
      <c r="L32" s="53">
        <f t="shared" si="30"/>
        <v>-13</v>
      </c>
      <c r="M32" s="53" t="str">
        <f t="shared" si="32"/>
        <v>NA Single door</v>
      </c>
      <c r="N32" s="53">
        <f t="shared" si="33"/>
        <v>-29</v>
      </c>
      <c r="O32" s="53" t="str">
        <f t="shared" si="34"/>
        <v>NA Single door</v>
      </c>
      <c r="P32" s="53">
        <f t="shared" si="35"/>
        <v>-16</v>
      </c>
      <c r="Q32" s="53" t="str">
        <f t="shared" si="36"/>
        <v>NA Single door</v>
      </c>
      <c r="R32" s="53">
        <f t="shared" si="37"/>
        <v>-25</v>
      </c>
      <c r="S32" s="53" t="str">
        <f t="shared" si="38"/>
        <v>NA Single door</v>
      </c>
      <c r="T32" s="53">
        <f t="shared" si="39"/>
        <v>-25</v>
      </c>
      <c r="U32" s="53" t="str">
        <f t="shared" si="40"/>
        <v>NA Single door</v>
      </c>
      <c r="V32" s="53">
        <f t="shared" si="41"/>
        <v>-51</v>
      </c>
      <c r="W32" s="53" t="str">
        <f t="shared" si="42"/>
        <v>NA Single door</v>
      </c>
      <c r="X32" s="53">
        <f t="shared" si="31"/>
        <v>-16</v>
      </c>
      <c r="Y32" s="53">
        <f>'Order form'!M37</f>
        <v>0</v>
      </c>
      <c r="Z32" s="53"/>
      <c r="AA32" s="53"/>
      <c r="AB32" s="53"/>
      <c r="AC32" s="53"/>
      <c r="AD32" s="53"/>
      <c r="AE32" s="53"/>
    </row>
    <row r="33" spans="1:32" s="52" customFormat="1" ht="80.25" customHeight="1" x14ac:dyDescent="0.45">
      <c r="A33" s="50"/>
      <c r="B33" s="50"/>
      <c r="C33" s="51"/>
      <c r="D33" s="51"/>
      <c r="E33" s="51"/>
      <c r="F33" s="51"/>
      <c r="G33" s="53">
        <f>'Order form'!A38</f>
        <v>0</v>
      </c>
      <c r="H33" s="53">
        <f>'Order form'!F38</f>
        <v>0</v>
      </c>
      <c r="I33" s="53">
        <f>+'Order form'!B38</f>
        <v>0</v>
      </c>
      <c r="J33" s="53">
        <f>+'Order form'!C38</f>
        <v>0</v>
      </c>
      <c r="K33" s="53">
        <f>+'Order form'!D38</f>
        <v>0</v>
      </c>
      <c r="L33" s="53">
        <f t="shared" ref="L33" si="43">+IF(J33&gt;2000,(J33/2)-6,(J33/1)-13)</f>
        <v>-13</v>
      </c>
      <c r="M33" s="53" t="str">
        <f t="shared" ref="M33" si="44">+IF(J33&gt;2000,(J33/2)-6,"NA Single door")</f>
        <v>NA Single door</v>
      </c>
      <c r="N33" s="53">
        <f t="shared" ref="N33" si="45">+IF(J33&gt;2000,(J33/2)-13,(L33/1)-16)</f>
        <v>-29</v>
      </c>
      <c r="O33" s="53" t="str">
        <f t="shared" ref="O33" si="46">+IF(J33&gt;2000,(J33/2)-13,"NA Single door")</f>
        <v>NA Single door</v>
      </c>
      <c r="P33" s="53">
        <f t="shared" ref="P33" si="47">+IF(J33&gt;2000,(J33/2)-6,(J33/1)-16)</f>
        <v>-16</v>
      </c>
      <c r="Q33" s="53" t="str">
        <f t="shared" ref="Q33" si="48">+IF(J33&gt;2000,(J33/2)-6,"NA Single door")</f>
        <v>NA Single door</v>
      </c>
      <c r="R33" s="53">
        <f t="shared" ref="R33" si="49">+IF(J33&gt;2000,K33-25,K33-25)</f>
        <v>-25</v>
      </c>
      <c r="S33" s="53" t="str">
        <f t="shared" ref="S33" si="50">+IF(J33&gt;2000,K33-25,"NA Single door")</f>
        <v>NA Single door</v>
      </c>
      <c r="T33" s="53">
        <f t="shared" ref="T33" si="51">+IF(J33&gt;2000,K33-25,K33-25)</f>
        <v>-25</v>
      </c>
      <c r="U33" s="53" t="str">
        <f t="shared" ref="U33" si="52">+IF(J33&gt;2000,K33-25,"NA Single door")</f>
        <v>NA Single door</v>
      </c>
      <c r="V33" s="53">
        <f t="shared" ref="V33" si="53">+IF(J33&gt;2000,K33-51,K33-51)</f>
        <v>-51</v>
      </c>
      <c r="W33" s="53" t="str">
        <f t="shared" ref="W33" si="54">+IF(J33&gt;2000,K33-51,"NA Single door")</f>
        <v>NA Single door</v>
      </c>
      <c r="X33" s="53">
        <f t="shared" si="31"/>
        <v>-16</v>
      </c>
      <c r="Y33" s="53">
        <f>'Order form'!M38</f>
        <v>0</v>
      </c>
      <c r="Z33" s="53"/>
      <c r="AA33" s="53"/>
      <c r="AB33" s="53"/>
      <c r="AC33" s="53"/>
      <c r="AD33" s="53"/>
      <c r="AE33" s="53"/>
    </row>
    <row r="34" spans="1:32" ht="30.75" customHeight="1" x14ac:dyDescent="0.25">
      <c r="A34" s="30" t="s">
        <v>550</v>
      </c>
      <c r="B34" s="2"/>
      <c r="C34" s="2"/>
      <c r="D34" s="2"/>
      <c r="E34" s="2"/>
      <c r="F34" s="2"/>
      <c r="G34" s="2"/>
      <c r="H34" s="2"/>
      <c r="I34" s="2"/>
      <c r="J34" s="31" t="s">
        <v>551</v>
      </c>
      <c r="K34" s="31"/>
      <c r="L34" s="31"/>
      <c r="M34" s="31"/>
      <c r="N34" s="33"/>
      <c r="O34" s="33"/>
      <c r="P34" s="33"/>
      <c r="Q34" s="33"/>
      <c r="R34" s="2"/>
      <c r="S34" s="2"/>
      <c r="T34" s="2"/>
      <c r="U34" s="2"/>
      <c r="V34" s="2"/>
      <c r="W34" s="2"/>
      <c r="X34" s="2"/>
      <c r="Y34" s="2"/>
      <c r="Z34" s="2"/>
      <c r="AA34" s="2"/>
      <c r="AB34" s="2"/>
      <c r="AC34" s="2"/>
      <c r="AD34" s="2"/>
      <c r="AE34" s="2"/>
    </row>
    <row r="35" spans="1:32" ht="199.5" customHeight="1" x14ac:dyDescent="0.25">
      <c r="A35" s="32"/>
      <c r="B35" s="32"/>
      <c r="C35" s="32"/>
      <c r="D35" s="32"/>
      <c r="E35" s="32"/>
      <c r="F35" s="32"/>
      <c r="G35" s="54" t="s">
        <v>520</v>
      </c>
      <c r="H35" s="54" t="s">
        <v>300</v>
      </c>
      <c r="I35" s="54" t="s">
        <v>521</v>
      </c>
      <c r="J35" s="54" t="s">
        <v>309</v>
      </c>
      <c r="K35" s="54" t="s">
        <v>308</v>
      </c>
      <c r="L35" s="54" t="s">
        <v>552</v>
      </c>
      <c r="M35" s="54" t="s">
        <v>553</v>
      </c>
      <c r="N35" s="54" t="s">
        <v>554</v>
      </c>
      <c r="O35" s="54" t="s">
        <v>555</v>
      </c>
      <c r="P35" s="54" t="s">
        <v>556</v>
      </c>
      <c r="Q35" s="54" t="s">
        <v>526</v>
      </c>
      <c r="R35" s="54" t="s">
        <v>527</v>
      </c>
      <c r="S35" s="54" t="s">
        <v>518</v>
      </c>
      <c r="T35" s="54" t="s">
        <v>519</v>
      </c>
      <c r="U35" s="54" t="s">
        <v>557</v>
      </c>
      <c r="V35" s="55" t="s">
        <v>530</v>
      </c>
      <c r="W35" s="54"/>
      <c r="X35" s="54"/>
      <c r="Y35" s="54"/>
      <c r="Z35" s="55"/>
      <c r="AA35" s="55"/>
      <c r="AB35" s="55"/>
      <c r="AC35" s="55"/>
      <c r="AD35" s="55"/>
      <c r="AE35" s="55"/>
      <c r="AF35" s="48"/>
    </row>
    <row r="36" spans="1:32" s="52" customFormat="1" ht="80.25" customHeight="1" x14ac:dyDescent="0.45">
      <c r="A36" s="50"/>
      <c r="B36" s="50"/>
      <c r="C36" s="51"/>
      <c r="D36" s="51"/>
      <c r="E36" s="51"/>
      <c r="F36" s="51"/>
      <c r="G36" s="53">
        <f>'Order form'!A41</f>
        <v>0</v>
      </c>
      <c r="H36" s="53" t="s">
        <v>22</v>
      </c>
      <c r="I36" s="53">
        <f>+'Order form'!B41</f>
        <v>0</v>
      </c>
      <c r="J36" s="53">
        <f>+'Order form'!C41</f>
        <v>0</v>
      </c>
      <c r="K36" s="53">
        <f>+'Order form'!D41</f>
        <v>0</v>
      </c>
      <c r="L36" s="53">
        <f>+K36-28</f>
        <v>-28</v>
      </c>
      <c r="M36" s="53" t="str">
        <f>IF(J36&gt;1200,L36,"USE CATCH PLATE")</f>
        <v>USE CATCH PLATE</v>
      </c>
      <c r="N36" s="53">
        <f>IF(J36&lt;1201,L36,"NO CATCH PLATE")</f>
        <v>-28</v>
      </c>
      <c r="O36" s="53">
        <f>+L36</f>
        <v>-28</v>
      </c>
      <c r="P36" s="53" t="str">
        <f>IF(J36&gt;1200,O36,"Single door")</f>
        <v>Single door</v>
      </c>
      <c r="Q36" s="53">
        <f>+O36</f>
        <v>-28</v>
      </c>
      <c r="R36" s="53" t="str">
        <f>IF(J36&gt;1200,Q36,"Single door")</f>
        <v>Single door</v>
      </c>
      <c r="S36" s="53">
        <f>IF(J36&gt;1200,J36-128,J36-83)</f>
        <v>-83</v>
      </c>
      <c r="T36" s="53">
        <f>+S36</f>
        <v>-83</v>
      </c>
      <c r="U36" s="53" t="s">
        <v>558</v>
      </c>
      <c r="V36" s="53">
        <f>'Order form'!M41</f>
        <v>0</v>
      </c>
      <c r="W36" s="53"/>
      <c r="X36" s="53"/>
      <c r="Y36" s="53"/>
      <c r="Z36" s="53"/>
      <c r="AA36" s="53"/>
      <c r="AB36" s="53"/>
      <c r="AC36" s="53"/>
      <c r="AD36" s="53"/>
      <c r="AE36" s="53"/>
    </row>
    <row r="37" spans="1:32" s="52" customFormat="1" ht="80.25" customHeight="1" x14ac:dyDescent="0.45">
      <c r="A37" s="50"/>
      <c r="B37" s="50"/>
      <c r="C37" s="51"/>
      <c r="D37" s="51"/>
      <c r="E37" s="51"/>
      <c r="F37" s="51"/>
      <c r="G37" s="53">
        <f>'Order form'!A42</f>
        <v>0</v>
      </c>
      <c r="H37" s="53" t="s">
        <v>22</v>
      </c>
      <c r="I37" s="53">
        <f>+'Order form'!B42</f>
        <v>0</v>
      </c>
      <c r="J37" s="53">
        <f>+'Order form'!C42</f>
        <v>0</v>
      </c>
      <c r="K37" s="53">
        <f>+'Order form'!D42</f>
        <v>0</v>
      </c>
      <c r="L37" s="53">
        <f t="shared" ref="L37:L45" si="55">+K37-28</f>
        <v>-28</v>
      </c>
      <c r="M37" s="53" t="str">
        <f t="shared" ref="M37:M45" si="56">IF(J37&gt;1200,L37,"USE CATCH PLATE")</f>
        <v>USE CATCH PLATE</v>
      </c>
      <c r="N37" s="53">
        <f t="shared" ref="N37:N45" si="57">IF(J37&lt;1201,L37,"NO CATCH PLATE")</f>
        <v>-28</v>
      </c>
      <c r="O37" s="53">
        <f t="shared" ref="O37:O45" si="58">+L37</f>
        <v>-28</v>
      </c>
      <c r="P37" s="53" t="str">
        <f t="shared" ref="P37:P45" si="59">IF(J37&gt;1200,O37,"Single door")</f>
        <v>Single door</v>
      </c>
      <c r="Q37" s="53">
        <f t="shared" ref="Q37:Q45" si="60">+O37</f>
        <v>-28</v>
      </c>
      <c r="R37" s="53" t="str">
        <f t="shared" ref="R37:R45" si="61">IF(J37&gt;1200,Q37,"Single door")</f>
        <v>Single door</v>
      </c>
      <c r="S37" s="53">
        <f t="shared" ref="S37:S45" si="62">IF(J37&gt;1200,J37-128,J37-83)</f>
        <v>-83</v>
      </c>
      <c r="T37" s="53">
        <f t="shared" ref="T37:T45" si="63">+S37</f>
        <v>-83</v>
      </c>
      <c r="U37" s="53" t="s">
        <v>558</v>
      </c>
      <c r="V37" s="53">
        <f>'Order form'!M42</f>
        <v>0</v>
      </c>
      <c r="W37" s="53"/>
      <c r="X37" s="53"/>
      <c r="Y37" s="53"/>
      <c r="Z37" s="53"/>
      <c r="AA37" s="53"/>
      <c r="AB37" s="53"/>
      <c r="AC37" s="53"/>
      <c r="AD37" s="53"/>
      <c r="AE37" s="53"/>
    </row>
    <row r="38" spans="1:32" s="52" customFormat="1" ht="80.25" customHeight="1" x14ac:dyDescent="0.45">
      <c r="A38" s="50"/>
      <c r="B38" s="50"/>
      <c r="C38" s="51"/>
      <c r="D38" s="51"/>
      <c r="E38" s="51"/>
      <c r="F38" s="51"/>
      <c r="G38" s="53">
        <f>'Order form'!A43</f>
        <v>0</v>
      </c>
      <c r="H38" s="53" t="s">
        <v>22</v>
      </c>
      <c r="I38" s="53">
        <f>+'Order form'!B43</f>
        <v>0</v>
      </c>
      <c r="J38" s="53">
        <f>+'Order form'!C43</f>
        <v>0</v>
      </c>
      <c r="K38" s="53">
        <f>+'Order form'!D43</f>
        <v>0</v>
      </c>
      <c r="L38" s="53">
        <f t="shared" si="55"/>
        <v>-28</v>
      </c>
      <c r="M38" s="53" t="str">
        <f t="shared" si="56"/>
        <v>USE CATCH PLATE</v>
      </c>
      <c r="N38" s="53">
        <f t="shared" si="57"/>
        <v>-28</v>
      </c>
      <c r="O38" s="53">
        <f t="shared" si="58"/>
        <v>-28</v>
      </c>
      <c r="P38" s="53" t="str">
        <f t="shared" si="59"/>
        <v>Single door</v>
      </c>
      <c r="Q38" s="53">
        <f t="shared" si="60"/>
        <v>-28</v>
      </c>
      <c r="R38" s="53" t="str">
        <f t="shared" si="61"/>
        <v>Single door</v>
      </c>
      <c r="S38" s="53">
        <f t="shared" si="62"/>
        <v>-83</v>
      </c>
      <c r="T38" s="53">
        <f t="shared" si="63"/>
        <v>-83</v>
      </c>
      <c r="U38" s="53" t="s">
        <v>558</v>
      </c>
      <c r="V38" s="53">
        <f>'Order form'!M43</f>
        <v>0</v>
      </c>
      <c r="W38" s="53"/>
      <c r="X38" s="53"/>
      <c r="Y38" s="53"/>
      <c r="Z38" s="53"/>
      <c r="AA38" s="53"/>
      <c r="AB38" s="53"/>
      <c r="AC38" s="53"/>
      <c r="AD38" s="53"/>
      <c r="AE38" s="53"/>
    </row>
    <row r="39" spans="1:32" s="52" customFormat="1" ht="80.25" customHeight="1" x14ac:dyDescent="0.45">
      <c r="A39" s="50"/>
      <c r="B39" s="50"/>
      <c r="C39" s="51"/>
      <c r="D39" s="51"/>
      <c r="E39" s="51"/>
      <c r="F39" s="51"/>
      <c r="G39" s="53">
        <f>'Order form'!A44</f>
        <v>0</v>
      </c>
      <c r="H39" s="53" t="s">
        <v>22</v>
      </c>
      <c r="I39" s="53">
        <f>+'Order form'!B44</f>
        <v>0</v>
      </c>
      <c r="J39" s="53">
        <f>+'Order form'!C44</f>
        <v>0</v>
      </c>
      <c r="K39" s="53">
        <f>+'Order form'!D44</f>
        <v>0</v>
      </c>
      <c r="L39" s="53">
        <f t="shared" si="55"/>
        <v>-28</v>
      </c>
      <c r="M39" s="53" t="str">
        <f t="shared" si="56"/>
        <v>USE CATCH PLATE</v>
      </c>
      <c r="N39" s="53">
        <f t="shared" si="57"/>
        <v>-28</v>
      </c>
      <c r="O39" s="53">
        <f t="shared" si="58"/>
        <v>-28</v>
      </c>
      <c r="P39" s="53" t="str">
        <f t="shared" si="59"/>
        <v>Single door</v>
      </c>
      <c r="Q39" s="53">
        <f t="shared" si="60"/>
        <v>-28</v>
      </c>
      <c r="R39" s="53" t="str">
        <f t="shared" si="61"/>
        <v>Single door</v>
      </c>
      <c r="S39" s="53">
        <f t="shared" si="62"/>
        <v>-83</v>
      </c>
      <c r="T39" s="53">
        <f t="shared" si="63"/>
        <v>-83</v>
      </c>
      <c r="U39" s="53" t="s">
        <v>558</v>
      </c>
      <c r="V39" s="53">
        <f>'Order form'!M44</f>
        <v>0</v>
      </c>
      <c r="W39" s="53"/>
      <c r="X39" s="53"/>
      <c r="Y39" s="53"/>
      <c r="Z39" s="53"/>
      <c r="AA39" s="53"/>
      <c r="AB39" s="53"/>
      <c r="AC39" s="53"/>
      <c r="AD39" s="53"/>
      <c r="AE39" s="53"/>
    </row>
    <row r="40" spans="1:32" s="52" customFormat="1" ht="80.25" customHeight="1" x14ac:dyDescent="0.45">
      <c r="A40" s="50"/>
      <c r="B40" s="50"/>
      <c r="C40" s="51"/>
      <c r="D40" s="51"/>
      <c r="E40" s="51"/>
      <c r="F40" s="51"/>
      <c r="G40" s="53">
        <f>'Order form'!A45</f>
        <v>0</v>
      </c>
      <c r="H40" s="53" t="s">
        <v>22</v>
      </c>
      <c r="I40" s="53">
        <f>+'Order form'!B45</f>
        <v>0</v>
      </c>
      <c r="J40" s="53">
        <f>+'Order form'!C45</f>
        <v>0</v>
      </c>
      <c r="K40" s="53">
        <f>+'Order form'!D45</f>
        <v>0</v>
      </c>
      <c r="L40" s="53">
        <f t="shared" si="55"/>
        <v>-28</v>
      </c>
      <c r="M40" s="53" t="str">
        <f t="shared" si="56"/>
        <v>USE CATCH PLATE</v>
      </c>
      <c r="N40" s="53">
        <f t="shared" si="57"/>
        <v>-28</v>
      </c>
      <c r="O40" s="53">
        <f t="shared" si="58"/>
        <v>-28</v>
      </c>
      <c r="P40" s="53" t="str">
        <f t="shared" si="59"/>
        <v>Single door</v>
      </c>
      <c r="Q40" s="53">
        <f t="shared" si="60"/>
        <v>-28</v>
      </c>
      <c r="R40" s="53" t="str">
        <f t="shared" si="61"/>
        <v>Single door</v>
      </c>
      <c r="S40" s="53">
        <f t="shared" si="62"/>
        <v>-83</v>
      </c>
      <c r="T40" s="53">
        <f t="shared" si="63"/>
        <v>-83</v>
      </c>
      <c r="U40" s="53" t="s">
        <v>558</v>
      </c>
      <c r="V40" s="53">
        <f>'Order form'!M45</f>
        <v>0</v>
      </c>
      <c r="W40" s="53"/>
      <c r="X40" s="53"/>
      <c r="Y40" s="53"/>
      <c r="Z40" s="53"/>
      <c r="AA40" s="53"/>
      <c r="AB40" s="53"/>
      <c r="AC40" s="53"/>
      <c r="AD40" s="53"/>
      <c r="AE40" s="53"/>
    </row>
    <row r="41" spans="1:32" s="52" customFormat="1" ht="80.25" customHeight="1" x14ac:dyDescent="0.45">
      <c r="A41" s="50"/>
      <c r="B41" s="50"/>
      <c r="C41" s="51"/>
      <c r="D41" s="51"/>
      <c r="E41" s="51"/>
      <c r="F41" s="51"/>
      <c r="G41" s="53">
        <f>'Order form'!A46</f>
        <v>0</v>
      </c>
      <c r="H41" s="53" t="s">
        <v>22</v>
      </c>
      <c r="I41" s="53">
        <f>+'Order form'!B46</f>
        <v>0</v>
      </c>
      <c r="J41" s="53">
        <f>+'Order form'!C46</f>
        <v>0</v>
      </c>
      <c r="K41" s="53">
        <f>+'Order form'!D46</f>
        <v>0</v>
      </c>
      <c r="L41" s="53">
        <f t="shared" si="55"/>
        <v>-28</v>
      </c>
      <c r="M41" s="53" t="str">
        <f t="shared" si="56"/>
        <v>USE CATCH PLATE</v>
      </c>
      <c r="N41" s="53">
        <f t="shared" si="57"/>
        <v>-28</v>
      </c>
      <c r="O41" s="53">
        <f t="shared" si="58"/>
        <v>-28</v>
      </c>
      <c r="P41" s="53" t="str">
        <f t="shared" si="59"/>
        <v>Single door</v>
      </c>
      <c r="Q41" s="53">
        <f t="shared" si="60"/>
        <v>-28</v>
      </c>
      <c r="R41" s="53" t="str">
        <f t="shared" si="61"/>
        <v>Single door</v>
      </c>
      <c r="S41" s="53">
        <f t="shared" si="62"/>
        <v>-83</v>
      </c>
      <c r="T41" s="53">
        <f t="shared" si="63"/>
        <v>-83</v>
      </c>
      <c r="U41" s="53" t="s">
        <v>558</v>
      </c>
      <c r="V41" s="53">
        <f>'Order form'!M46</f>
        <v>0</v>
      </c>
      <c r="W41" s="53"/>
      <c r="X41" s="53"/>
      <c r="Y41" s="53"/>
      <c r="Z41" s="53"/>
      <c r="AA41" s="53"/>
      <c r="AB41" s="53"/>
      <c r="AC41" s="53"/>
      <c r="AD41" s="53"/>
      <c r="AE41" s="53"/>
    </row>
    <row r="42" spans="1:32" s="52" customFormat="1" ht="80.25" customHeight="1" x14ac:dyDescent="0.45">
      <c r="A42" s="50"/>
      <c r="B42" s="50"/>
      <c r="C42" s="51"/>
      <c r="D42" s="51"/>
      <c r="E42" s="51"/>
      <c r="F42" s="51"/>
      <c r="G42" s="53">
        <f>'Order form'!A47</f>
        <v>0</v>
      </c>
      <c r="H42" s="53" t="s">
        <v>22</v>
      </c>
      <c r="I42" s="53">
        <f>+'Order form'!B47</f>
        <v>0</v>
      </c>
      <c r="J42" s="53">
        <f>+'Order form'!C47</f>
        <v>0</v>
      </c>
      <c r="K42" s="53">
        <f>+'Order form'!D47</f>
        <v>0</v>
      </c>
      <c r="L42" s="53">
        <f t="shared" si="55"/>
        <v>-28</v>
      </c>
      <c r="M42" s="53" t="str">
        <f t="shared" si="56"/>
        <v>USE CATCH PLATE</v>
      </c>
      <c r="N42" s="53">
        <f t="shared" si="57"/>
        <v>-28</v>
      </c>
      <c r="O42" s="53">
        <f t="shared" si="58"/>
        <v>-28</v>
      </c>
      <c r="P42" s="53" t="str">
        <f t="shared" si="59"/>
        <v>Single door</v>
      </c>
      <c r="Q42" s="53">
        <f t="shared" si="60"/>
        <v>-28</v>
      </c>
      <c r="R42" s="53" t="str">
        <f t="shared" si="61"/>
        <v>Single door</v>
      </c>
      <c r="S42" s="53">
        <f t="shared" si="62"/>
        <v>-83</v>
      </c>
      <c r="T42" s="53">
        <f t="shared" si="63"/>
        <v>-83</v>
      </c>
      <c r="U42" s="53" t="s">
        <v>558</v>
      </c>
      <c r="V42" s="53">
        <f>'Order form'!M47</f>
        <v>0</v>
      </c>
      <c r="W42" s="53"/>
      <c r="X42" s="53"/>
      <c r="Y42" s="53"/>
      <c r="Z42" s="53"/>
      <c r="AA42" s="53"/>
      <c r="AB42" s="53"/>
      <c r="AC42" s="53"/>
      <c r="AD42" s="53"/>
      <c r="AE42" s="53"/>
    </row>
    <row r="43" spans="1:32" s="52" customFormat="1" ht="80.25" customHeight="1" x14ac:dyDescent="0.45">
      <c r="A43" s="50"/>
      <c r="B43" s="50"/>
      <c r="C43" s="51"/>
      <c r="D43" s="51"/>
      <c r="E43" s="51"/>
      <c r="F43" s="51"/>
      <c r="G43" s="53">
        <f>'Order form'!A48</f>
        <v>0</v>
      </c>
      <c r="H43" s="53" t="s">
        <v>22</v>
      </c>
      <c r="I43" s="53">
        <f>+'Order form'!B48</f>
        <v>0</v>
      </c>
      <c r="J43" s="53">
        <f>+'Order form'!C48</f>
        <v>0</v>
      </c>
      <c r="K43" s="53">
        <f>+'Order form'!D48</f>
        <v>0</v>
      </c>
      <c r="L43" s="53">
        <f t="shared" si="55"/>
        <v>-28</v>
      </c>
      <c r="M43" s="53" t="str">
        <f t="shared" si="56"/>
        <v>USE CATCH PLATE</v>
      </c>
      <c r="N43" s="53">
        <f t="shared" si="57"/>
        <v>-28</v>
      </c>
      <c r="O43" s="53">
        <f t="shared" si="58"/>
        <v>-28</v>
      </c>
      <c r="P43" s="53" t="str">
        <f t="shared" si="59"/>
        <v>Single door</v>
      </c>
      <c r="Q43" s="53">
        <f t="shared" si="60"/>
        <v>-28</v>
      </c>
      <c r="R43" s="53" t="str">
        <f t="shared" si="61"/>
        <v>Single door</v>
      </c>
      <c r="S43" s="53">
        <f t="shared" si="62"/>
        <v>-83</v>
      </c>
      <c r="T43" s="53">
        <f t="shared" si="63"/>
        <v>-83</v>
      </c>
      <c r="U43" s="53" t="s">
        <v>558</v>
      </c>
      <c r="V43" s="53">
        <f>'Order form'!M48</f>
        <v>0</v>
      </c>
      <c r="W43" s="53"/>
      <c r="X43" s="53"/>
      <c r="Y43" s="53"/>
      <c r="Z43" s="53"/>
      <c r="AA43" s="53"/>
      <c r="AB43" s="53"/>
      <c r="AC43" s="53"/>
      <c r="AD43" s="53"/>
      <c r="AE43" s="53"/>
    </row>
    <row r="44" spans="1:32" s="52" customFormat="1" ht="80.25" customHeight="1" x14ac:dyDescent="0.45">
      <c r="A44" s="50"/>
      <c r="B44" s="50"/>
      <c r="C44" s="51"/>
      <c r="D44" s="51"/>
      <c r="E44" s="51"/>
      <c r="F44" s="51"/>
      <c r="G44" s="53">
        <f>'Order form'!A49</f>
        <v>0</v>
      </c>
      <c r="H44" s="53" t="s">
        <v>22</v>
      </c>
      <c r="I44" s="53">
        <f>+'Order form'!B49</f>
        <v>0</v>
      </c>
      <c r="J44" s="53">
        <f>+'Order form'!C49</f>
        <v>0</v>
      </c>
      <c r="K44" s="53">
        <f>+'Order form'!D49</f>
        <v>0</v>
      </c>
      <c r="L44" s="53">
        <f t="shared" si="55"/>
        <v>-28</v>
      </c>
      <c r="M44" s="53" t="str">
        <f t="shared" si="56"/>
        <v>USE CATCH PLATE</v>
      </c>
      <c r="N44" s="53">
        <f t="shared" si="57"/>
        <v>-28</v>
      </c>
      <c r="O44" s="53">
        <f t="shared" si="58"/>
        <v>-28</v>
      </c>
      <c r="P44" s="53" t="str">
        <f t="shared" si="59"/>
        <v>Single door</v>
      </c>
      <c r="Q44" s="53">
        <f t="shared" si="60"/>
        <v>-28</v>
      </c>
      <c r="R44" s="53" t="str">
        <f t="shared" si="61"/>
        <v>Single door</v>
      </c>
      <c r="S44" s="53">
        <f t="shared" si="62"/>
        <v>-83</v>
      </c>
      <c r="T44" s="53">
        <f t="shared" si="63"/>
        <v>-83</v>
      </c>
      <c r="U44" s="53" t="s">
        <v>558</v>
      </c>
      <c r="V44" s="53">
        <f>'Order form'!M49</f>
        <v>0</v>
      </c>
      <c r="W44" s="53"/>
      <c r="X44" s="53"/>
      <c r="Y44" s="53"/>
      <c r="Z44" s="53"/>
      <c r="AA44" s="53"/>
      <c r="AB44" s="53"/>
      <c r="AC44" s="53"/>
      <c r="AD44" s="53"/>
      <c r="AE44" s="53"/>
    </row>
    <row r="45" spans="1:32" s="52" customFormat="1" ht="80.25" customHeight="1" x14ac:dyDescent="0.45">
      <c r="A45" s="50"/>
      <c r="B45" s="50"/>
      <c r="C45" s="51"/>
      <c r="D45" s="51"/>
      <c r="E45" s="51"/>
      <c r="F45" s="51"/>
      <c r="G45" s="53">
        <f>'Order form'!A50</f>
        <v>0</v>
      </c>
      <c r="H45" s="53" t="s">
        <v>22</v>
      </c>
      <c r="I45" s="53">
        <f>+'Order form'!B50</f>
        <v>0</v>
      </c>
      <c r="J45" s="53">
        <f>+'Order form'!C50</f>
        <v>0</v>
      </c>
      <c r="K45" s="53">
        <f>+'Order form'!D50</f>
        <v>0</v>
      </c>
      <c r="L45" s="53">
        <f t="shared" si="55"/>
        <v>-28</v>
      </c>
      <c r="M45" s="53" t="str">
        <f t="shared" si="56"/>
        <v>USE CATCH PLATE</v>
      </c>
      <c r="N45" s="53">
        <f t="shared" si="57"/>
        <v>-28</v>
      </c>
      <c r="O45" s="53">
        <f t="shared" si="58"/>
        <v>-28</v>
      </c>
      <c r="P45" s="53" t="str">
        <f t="shared" si="59"/>
        <v>Single door</v>
      </c>
      <c r="Q45" s="53">
        <f t="shared" si="60"/>
        <v>-28</v>
      </c>
      <c r="R45" s="53" t="str">
        <f t="shared" si="61"/>
        <v>Single door</v>
      </c>
      <c r="S45" s="53">
        <f t="shared" si="62"/>
        <v>-83</v>
      </c>
      <c r="T45" s="53">
        <f t="shared" si="63"/>
        <v>-83</v>
      </c>
      <c r="U45" s="53" t="s">
        <v>558</v>
      </c>
      <c r="V45" s="53">
        <f>'Order form'!M50</f>
        <v>0</v>
      </c>
      <c r="W45" s="53"/>
      <c r="X45" s="53"/>
      <c r="Y45" s="53"/>
      <c r="Z45" s="53"/>
      <c r="AA45" s="53"/>
      <c r="AB45" s="53"/>
      <c r="AC45" s="53"/>
      <c r="AD45" s="53"/>
      <c r="AE45" s="53"/>
    </row>
    <row r="46" spans="1:32" ht="30" customHeight="1" x14ac:dyDescent="0.25">
      <c r="A46" s="30" t="s">
        <v>550</v>
      </c>
      <c r="B46" s="2"/>
      <c r="C46" s="2"/>
      <c r="D46" s="2"/>
      <c r="E46" s="2"/>
      <c r="F46" s="2"/>
      <c r="G46" s="2"/>
      <c r="H46" s="2"/>
      <c r="I46" s="2"/>
      <c r="J46" s="31" t="s">
        <v>559</v>
      </c>
      <c r="K46" s="31"/>
      <c r="L46" s="31"/>
      <c r="M46" s="31"/>
      <c r="N46" s="31"/>
      <c r="O46" s="33"/>
      <c r="P46" s="33"/>
      <c r="Q46" s="33"/>
      <c r="R46" s="2"/>
      <c r="S46" s="2"/>
      <c r="T46" s="2"/>
      <c r="U46" s="2"/>
      <c r="V46" s="2"/>
      <c r="W46" s="2"/>
      <c r="X46" s="2"/>
      <c r="Y46" s="2"/>
      <c r="Z46" s="2"/>
      <c r="AA46" s="2"/>
      <c r="AB46" s="2"/>
      <c r="AC46" s="2"/>
      <c r="AD46" s="2"/>
      <c r="AE46" s="2"/>
    </row>
    <row r="47" spans="1:32" ht="199.5" customHeight="1" x14ac:dyDescent="0.25">
      <c r="A47" s="32"/>
      <c r="B47" s="32"/>
      <c r="C47" s="32"/>
      <c r="D47" s="32"/>
      <c r="E47" s="32"/>
      <c r="F47" s="32"/>
      <c r="G47" s="54" t="s">
        <v>520</v>
      </c>
      <c r="H47" s="54" t="s">
        <v>300</v>
      </c>
      <c r="I47" s="54" t="s">
        <v>521</v>
      </c>
      <c r="J47" s="54" t="s">
        <v>309</v>
      </c>
      <c r="K47" s="54" t="s">
        <v>308</v>
      </c>
      <c r="L47" s="54" t="s">
        <v>560</v>
      </c>
      <c r="M47" s="54" t="s">
        <v>517</v>
      </c>
      <c r="N47" s="54" t="s">
        <v>561</v>
      </c>
      <c r="O47" s="54" t="s">
        <v>562</v>
      </c>
      <c r="P47" s="54" t="s">
        <v>518</v>
      </c>
      <c r="Q47" s="54" t="s">
        <v>519</v>
      </c>
      <c r="R47" s="55" t="s">
        <v>530</v>
      </c>
      <c r="S47" s="54"/>
      <c r="T47" s="54"/>
      <c r="U47" s="54"/>
      <c r="V47" s="54"/>
      <c r="W47" s="54"/>
      <c r="X47" s="54"/>
      <c r="Y47" s="54"/>
      <c r="Z47" s="55"/>
      <c r="AA47" s="55"/>
      <c r="AB47" s="55"/>
      <c r="AC47" s="55"/>
      <c r="AD47" s="55"/>
      <c r="AE47" s="55"/>
      <c r="AF47" s="48"/>
    </row>
    <row r="48" spans="1:32" s="52" customFormat="1" ht="80.25" customHeight="1" x14ac:dyDescent="0.45">
      <c r="A48" s="50"/>
      <c r="B48" s="50"/>
      <c r="C48" s="51"/>
      <c r="D48" s="51"/>
      <c r="E48" s="51"/>
      <c r="F48" s="51"/>
      <c r="G48" s="53">
        <f>'Order form'!A53</f>
        <v>0</v>
      </c>
      <c r="H48" s="53" t="s">
        <v>22</v>
      </c>
      <c r="I48" s="53">
        <f>+'Order form'!B53</f>
        <v>0</v>
      </c>
      <c r="J48" s="53">
        <f>+'Order form'!C53</f>
        <v>0</v>
      </c>
      <c r="K48" s="53">
        <f>+'Order form'!D53</f>
        <v>0</v>
      </c>
      <c r="L48" s="53">
        <f>+K48-28</f>
        <v>-28</v>
      </c>
      <c r="M48" s="53">
        <f>+L48</f>
        <v>-28</v>
      </c>
      <c r="N48" s="53">
        <f>IF(J48&lt;1201,L48,"NO CATCH PLATE")</f>
        <v>-28</v>
      </c>
      <c r="O48" s="53">
        <f>+K48-28</f>
        <v>-28</v>
      </c>
      <c r="P48" s="53">
        <f>IF(J48&gt;1200,J48-128,J48-83)</f>
        <v>-83</v>
      </c>
      <c r="Q48" s="53">
        <f>+P48</f>
        <v>-83</v>
      </c>
      <c r="R48" s="53">
        <f>'Order form'!M53</f>
        <v>0</v>
      </c>
      <c r="S48" s="53"/>
      <c r="T48" s="53"/>
      <c r="U48" s="53"/>
      <c r="V48" s="53"/>
      <c r="W48" s="53"/>
      <c r="X48" s="53"/>
      <c r="Y48" s="53"/>
      <c r="Z48" s="53"/>
      <c r="AA48" s="53"/>
      <c r="AB48" s="53"/>
      <c r="AC48" s="53"/>
      <c r="AD48" s="53"/>
      <c r="AE48" s="53"/>
    </row>
    <row r="49" spans="1:32" s="52" customFormat="1" ht="80.25" customHeight="1" x14ac:dyDescent="0.45">
      <c r="A49" s="50"/>
      <c r="B49" s="50"/>
      <c r="C49" s="51"/>
      <c r="D49" s="51"/>
      <c r="E49" s="51"/>
      <c r="F49" s="51"/>
      <c r="G49" s="53">
        <f>'Order form'!A54</f>
        <v>0</v>
      </c>
      <c r="H49" s="53" t="s">
        <v>22</v>
      </c>
      <c r="I49" s="53">
        <f>+'Order form'!B54</f>
        <v>0</v>
      </c>
      <c r="J49" s="53">
        <f>+'Order form'!C54</f>
        <v>0</v>
      </c>
      <c r="K49" s="53">
        <f>+'Order form'!D54</f>
        <v>0</v>
      </c>
      <c r="L49" s="53">
        <f t="shared" ref="L49:L57" si="64">+K49-28</f>
        <v>-28</v>
      </c>
      <c r="M49" s="53">
        <f t="shared" ref="M49:M57" si="65">+L49</f>
        <v>-28</v>
      </c>
      <c r="N49" s="53">
        <f t="shared" ref="N49:N57" si="66">IF(J49&lt;1201,L49,"NO CATCH PLATE")</f>
        <v>-28</v>
      </c>
      <c r="O49" s="53">
        <f t="shared" ref="O49:O57" si="67">+K49-28</f>
        <v>-28</v>
      </c>
      <c r="P49" s="53">
        <f t="shared" ref="P49:P57" si="68">IF(J49&gt;1200,J49-128,J49-83)</f>
        <v>-83</v>
      </c>
      <c r="Q49" s="53">
        <f t="shared" ref="Q49:Q57" si="69">+P49</f>
        <v>-83</v>
      </c>
      <c r="R49" s="53">
        <f>'Order form'!M54</f>
        <v>0</v>
      </c>
      <c r="S49" s="53"/>
      <c r="T49" s="53"/>
      <c r="U49" s="53"/>
      <c r="V49" s="53"/>
      <c r="W49" s="53"/>
      <c r="X49" s="53"/>
      <c r="Y49" s="53"/>
      <c r="Z49" s="53"/>
      <c r="AA49" s="53"/>
      <c r="AB49" s="53"/>
      <c r="AC49" s="53"/>
      <c r="AD49" s="53"/>
      <c r="AE49" s="53"/>
    </row>
    <row r="50" spans="1:32" s="52" customFormat="1" ht="80.25" customHeight="1" x14ac:dyDescent="0.45">
      <c r="A50" s="50"/>
      <c r="B50" s="50"/>
      <c r="C50" s="51"/>
      <c r="D50" s="51"/>
      <c r="E50" s="51"/>
      <c r="F50" s="51"/>
      <c r="G50" s="53">
        <f>'Order form'!A55</f>
        <v>0</v>
      </c>
      <c r="H50" s="53" t="s">
        <v>22</v>
      </c>
      <c r="I50" s="53">
        <f>+'Order form'!B55</f>
        <v>0</v>
      </c>
      <c r="J50" s="53">
        <f>+'Order form'!C55</f>
        <v>0</v>
      </c>
      <c r="K50" s="53">
        <f>+'Order form'!D55</f>
        <v>0</v>
      </c>
      <c r="L50" s="53">
        <f t="shared" si="64"/>
        <v>-28</v>
      </c>
      <c r="M50" s="53">
        <f t="shared" si="65"/>
        <v>-28</v>
      </c>
      <c r="N50" s="53">
        <f t="shared" si="66"/>
        <v>-28</v>
      </c>
      <c r="O50" s="53">
        <f t="shared" si="67"/>
        <v>-28</v>
      </c>
      <c r="P50" s="53">
        <f t="shared" si="68"/>
        <v>-83</v>
      </c>
      <c r="Q50" s="53">
        <f t="shared" si="69"/>
        <v>-83</v>
      </c>
      <c r="R50" s="53">
        <f>'Order form'!M55</f>
        <v>0</v>
      </c>
      <c r="S50" s="53"/>
      <c r="T50" s="53"/>
      <c r="U50" s="53"/>
      <c r="V50" s="53"/>
      <c r="W50" s="53"/>
      <c r="X50" s="53"/>
      <c r="Y50" s="53"/>
      <c r="Z50" s="53"/>
      <c r="AA50" s="53"/>
      <c r="AB50" s="53"/>
      <c r="AC50" s="53"/>
      <c r="AD50" s="53"/>
      <c r="AE50" s="53"/>
    </row>
    <row r="51" spans="1:32" s="52" customFormat="1" ht="80.25" customHeight="1" x14ac:dyDescent="0.45">
      <c r="A51" s="50"/>
      <c r="B51" s="50"/>
      <c r="C51" s="51"/>
      <c r="D51" s="51"/>
      <c r="E51" s="51"/>
      <c r="F51" s="51"/>
      <c r="G51" s="53">
        <f>'Order form'!A56</f>
        <v>0</v>
      </c>
      <c r="H51" s="53" t="s">
        <v>22</v>
      </c>
      <c r="I51" s="53">
        <f>+'Order form'!B56</f>
        <v>0</v>
      </c>
      <c r="J51" s="53">
        <f>+'Order form'!C56</f>
        <v>0</v>
      </c>
      <c r="K51" s="53">
        <f>+'Order form'!D56</f>
        <v>0</v>
      </c>
      <c r="L51" s="53">
        <f t="shared" si="64"/>
        <v>-28</v>
      </c>
      <c r="M51" s="53">
        <f t="shared" si="65"/>
        <v>-28</v>
      </c>
      <c r="N51" s="53">
        <f t="shared" si="66"/>
        <v>-28</v>
      </c>
      <c r="O51" s="53">
        <f t="shared" si="67"/>
        <v>-28</v>
      </c>
      <c r="P51" s="53">
        <f t="shared" si="68"/>
        <v>-83</v>
      </c>
      <c r="Q51" s="53">
        <f t="shared" si="69"/>
        <v>-83</v>
      </c>
      <c r="R51" s="53">
        <f>'Order form'!M56</f>
        <v>0</v>
      </c>
      <c r="S51" s="53"/>
      <c r="T51" s="53"/>
      <c r="U51" s="53"/>
      <c r="V51" s="53"/>
      <c r="W51" s="53"/>
      <c r="X51" s="53"/>
      <c r="Y51" s="53"/>
      <c r="Z51" s="53"/>
      <c r="AA51" s="53"/>
      <c r="AB51" s="53"/>
      <c r="AC51" s="53"/>
      <c r="AD51" s="53"/>
      <c r="AE51" s="53"/>
    </row>
    <row r="52" spans="1:32" s="52" customFormat="1" ht="80.25" customHeight="1" x14ac:dyDescent="0.45">
      <c r="A52" s="50"/>
      <c r="B52" s="50"/>
      <c r="C52" s="51"/>
      <c r="D52" s="51"/>
      <c r="E52" s="51"/>
      <c r="F52" s="51"/>
      <c r="G52" s="53">
        <f>'Order form'!A57</f>
        <v>0</v>
      </c>
      <c r="H52" s="53" t="s">
        <v>22</v>
      </c>
      <c r="I52" s="53">
        <f>+'Order form'!B57</f>
        <v>0</v>
      </c>
      <c r="J52" s="53">
        <f>+'Order form'!C57</f>
        <v>0</v>
      </c>
      <c r="K52" s="53">
        <f>+'Order form'!D57</f>
        <v>0</v>
      </c>
      <c r="L52" s="53">
        <f t="shared" si="64"/>
        <v>-28</v>
      </c>
      <c r="M52" s="53">
        <f t="shared" si="65"/>
        <v>-28</v>
      </c>
      <c r="N52" s="53">
        <f t="shared" si="66"/>
        <v>-28</v>
      </c>
      <c r="O52" s="53">
        <f t="shared" si="67"/>
        <v>-28</v>
      </c>
      <c r="P52" s="53">
        <f t="shared" si="68"/>
        <v>-83</v>
      </c>
      <c r="Q52" s="53">
        <f t="shared" si="69"/>
        <v>-83</v>
      </c>
      <c r="R52" s="53">
        <f>'Order form'!M57</f>
        <v>0</v>
      </c>
      <c r="S52" s="53"/>
      <c r="T52" s="53"/>
      <c r="U52" s="53"/>
      <c r="V52" s="53"/>
      <c r="W52" s="53"/>
      <c r="X52" s="53"/>
      <c r="Y52" s="53"/>
      <c r="Z52" s="53"/>
      <c r="AA52" s="53"/>
      <c r="AB52" s="53"/>
      <c r="AC52" s="53"/>
      <c r="AD52" s="53"/>
      <c r="AE52" s="53"/>
    </row>
    <row r="53" spans="1:32" s="52" customFormat="1" ht="80.25" customHeight="1" x14ac:dyDescent="0.45">
      <c r="A53" s="50"/>
      <c r="B53" s="50"/>
      <c r="C53" s="51"/>
      <c r="D53" s="51"/>
      <c r="E53" s="51"/>
      <c r="F53" s="51"/>
      <c r="G53" s="53">
        <f>'Order form'!A58</f>
        <v>0</v>
      </c>
      <c r="H53" s="53" t="s">
        <v>22</v>
      </c>
      <c r="I53" s="53">
        <f>+'Order form'!B58</f>
        <v>0</v>
      </c>
      <c r="J53" s="53">
        <f>+'Order form'!C58</f>
        <v>0</v>
      </c>
      <c r="K53" s="53">
        <f>+'Order form'!D58</f>
        <v>0</v>
      </c>
      <c r="L53" s="53">
        <f t="shared" si="64"/>
        <v>-28</v>
      </c>
      <c r="M53" s="53">
        <f t="shared" si="65"/>
        <v>-28</v>
      </c>
      <c r="N53" s="53">
        <f t="shared" si="66"/>
        <v>-28</v>
      </c>
      <c r="O53" s="53">
        <f t="shared" si="67"/>
        <v>-28</v>
      </c>
      <c r="P53" s="53">
        <f t="shared" si="68"/>
        <v>-83</v>
      </c>
      <c r="Q53" s="53">
        <f t="shared" si="69"/>
        <v>-83</v>
      </c>
      <c r="R53" s="53">
        <f>'Order form'!M58</f>
        <v>0</v>
      </c>
      <c r="S53" s="53"/>
      <c r="T53" s="53"/>
      <c r="U53" s="53"/>
      <c r="V53" s="53"/>
      <c r="W53" s="53"/>
      <c r="X53" s="53"/>
      <c r="Y53" s="53"/>
      <c r="Z53" s="53"/>
      <c r="AA53" s="53"/>
      <c r="AB53" s="53"/>
      <c r="AC53" s="53"/>
      <c r="AD53" s="53"/>
      <c r="AE53" s="53"/>
    </row>
    <row r="54" spans="1:32" s="52" customFormat="1" ht="80.25" customHeight="1" x14ac:dyDescent="0.45">
      <c r="A54" s="50"/>
      <c r="B54" s="50"/>
      <c r="C54" s="51"/>
      <c r="D54" s="51"/>
      <c r="E54" s="51"/>
      <c r="F54" s="51"/>
      <c r="G54" s="53">
        <f>'Order form'!A59</f>
        <v>0</v>
      </c>
      <c r="H54" s="53" t="s">
        <v>22</v>
      </c>
      <c r="I54" s="53">
        <f>+'Order form'!B59</f>
        <v>0</v>
      </c>
      <c r="J54" s="53">
        <f>+'Order form'!C59</f>
        <v>0</v>
      </c>
      <c r="K54" s="53">
        <f>+'Order form'!D59</f>
        <v>0</v>
      </c>
      <c r="L54" s="53">
        <f t="shared" si="64"/>
        <v>-28</v>
      </c>
      <c r="M54" s="53">
        <f t="shared" si="65"/>
        <v>-28</v>
      </c>
      <c r="N54" s="53">
        <f t="shared" si="66"/>
        <v>-28</v>
      </c>
      <c r="O54" s="53">
        <f t="shared" si="67"/>
        <v>-28</v>
      </c>
      <c r="P54" s="53">
        <f t="shared" si="68"/>
        <v>-83</v>
      </c>
      <c r="Q54" s="53">
        <f t="shared" si="69"/>
        <v>-83</v>
      </c>
      <c r="R54" s="53">
        <f>'Order form'!M59</f>
        <v>0</v>
      </c>
      <c r="S54" s="53"/>
      <c r="T54" s="53"/>
      <c r="U54" s="53"/>
      <c r="V54" s="53"/>
      <c r="W54" s="53"/>
      <c r="X54" s="53"/>
      <c r="Y54" s="53"/>
      <c r="Z54" s="53"/>
      <c r="AA54" s="53"/>
      <c r="AB54" s="53"/>
      <c r="AC54" s="53"/>
      <c r="AD54" s="53"/>
      <c r="AE54" s="53"/>
    </row>
    <row r="55" spans="1:32" s="52" customFormat="1" ht="80.25" customHeight="1" x14ac:dyDescent="0.45">
      <c r="A55" s="50"/>
      <c r="B55" s="50"/>
      <c r="C55" s="51"/>
      <c r="D55" s="51"/>
      <c r="E55" s="51"/>
      <c r="F55" s="51"/>
      <c r="G55" s="53">
        <f>'Order form'!A60</f>
        <v>0</v>
      </c>
      <c r="H55" s="53" t="s">
        <v>22</v>
      </c>
      <c r="I55" s="53">
        <f>+'Order form'!B60</f>
        <v>0</v>
      </c>
      <c r="J55" s="53">
        <f>+'Order form'!C60</f>
        <v>0</v>
      </c>
      <c r="K55" s="53">
        <f>+'Order form'!D60</f>
        <v>0</v>
      </c>
      <c r="L55" s="53">
        <f t="shared" si="64"/>
        <v>-28</v>
      </c>
      <c r="M55" s="53">
        <f t="shared" si="65"/>
        <v>-28</v>
      </c>
      <c r="N55" s="53">
        <f t="shared" si="66"/>
        <v>-28</v>
      </c>
      <c r="O55" s="53">
        <f t="shared" si="67"/>
        <v>-28</v>
      </c>
      <c r="P55" s="53">
        <f t="shared" si="68"/>
        <v>-83</v>
      </c>
      <c r="Q55" s="53">
        <f t="shared" si="69"/>
        <v>-83</v>
      </c>
      <c r="R55" s="53">
        <f>'Order form'!M60</f>
        <v>0</v>
      </c>
      <c r="S55" s="53"/>
      <c r="T55" s="53"/>
      <c r="U55" s="53"/>
      <c r="V55" s="53"/>
      <c r="W55" s="53"/>
      <c r="X55" s="53"/>
      <c r="Y55" s="53"/>
      <c r="Z55" s="53"/>
      <c r="AA55" s="53"/>
      <c r="AB55" s="53"/>
      <c r="AC55" s="53"/>
      <c r="AD55" s="53"/>
      <c r="AE55" s="53"/>
    </row>
    <row r="56" spans="1:32" s="52" customFormat="1" ht="80.25" customHeight="1" x14ac:dyDescent="0.45">
      <c r="A56" s="50"/>
      <c r="B56" s="50"/>
      <c r="C56" s="51"/>
      <c r="D56" s="51"/>
      <c r="E56" s="51"/>
      <c r="F56" s="51"/>
      <c r="G56" s="53">
        <f>'Order form'!A61</f>
        <v>0</v>
      </c>
      <c r="H56" s="53" t="s">
        <v>22</v>
      </c>
      <c r="I56" s="53">
        <f>+'Order form'!B61</f>
        <v>0</v>
      </c>
      <c r="J56" s="53">
        <f>+'Order form'!C61</f>
        <v>0</v>
      </c>
      <c r="K56" s="53">
        <f>+'Order form'!D61</f>
        <v>0</v>
      </c>
      <c r="L56" s="53">
        <f t="shared" si="64"/>
        <v>-28</v>
      </c>
      <c r="M56" s="53">
        <f t="shared" si="65"/>
        <v>-28</v>
      </c>
      <c r="N56" s="53">
        <f t="shared" si="66"/>
        <v>-28</v>
      </c>
      <c r="O56" s="53">
        <f t="shared" si="67"/>
        <v>-28</v>
      </c>
      <c r="P56" s="53">
        <f t="shared" si="68"/>
        <v>-83</v>
      </c>
      <c r="Q56" s="53">
        <f t="shared" si="69"/>
        <v>-83</v>
      </c>
      <c r="R56" s="53">
        <f>'Order form'!M61</f>
        <v>0</v>
      </c>
      <c r="S56" s="53"/>
      <c r="T56" s="53"/>
      <c r="U56" s="53"/>
      <c r="V56" s="53"/>
      <c r="W56" s="53"/>
      <c r="X56" s="53"/>
      <c r="Y56" s="53"/>
      <c r="Z56" s="53"/>
      <c r="AA56" s="53"/>
      <c r="AB56" s="53"/>
      <c r="AC56" s="53"/>
      <c r="AD56" s="53"/>
      <c r="AE56" s="53"/>
    </row>
    <row r="57" spans="1:32" s="52" customFormat="1" ht="80.25" customHeight="1" x14ac:dyDescent="0.45">
      <c r="A57" s="50"/>
      <c r="B57" s="50"/>
      <c r="C57" s="51"/>
      <c r="D57" s="51"/>
      <c r="E57" s="51"/>
      <c r="F57" s="51"/>
      <c r="G57" s="53">
        <f>'Order form'!A62</f>
        <v>0</v>
      </c>
      <c r="H57" s="53" t="s">
        <v>22</v>
      </c>
      <c r="I57" s="53">
        <f>+'Order form'!B62</f>
        <v>0</v>
      </c>
      <c r="J57" s="53">
        <f>+'Order form'!C62</f>
        <v>0</v>
      </c>
      <c r="K57" s="53">
        <f>+'Order form'!D62</f>
        <v>0</v>
      </c>
      <c r="L57" s="53">
        <f t="shared" si="64"/>
        <v>-28</v>
      </c>
      <c r="M57" s="53">
        <f t="shared" si="65"/>
        <v>-28</v>
      </c>
      <c r="N57" s="53">
        <f t="shared" si="66"/>
        <v>-28</v>
      </c>
      <c r="O57" s="53">
        <f t="shared" si="67"/>
        <v>-28</v>
      </c>
      <c r="P57" s="53">
        <f t="shared" si="68"/>
        <v>-83</v>
      </c>
      <c r="Q57" s="53">
        <f t="shared" si="69"/>
        <v>-83</v>
      </c>
      <c r="R57" s="53">
        <f>'Order form'!M62</f>
        <v>0</v>
      </c>
      <c r="S57" s="53"/>
      <c r="T57" s="53"/>
      <c r="U57" s="53"/>
      <c r="V57" s="53"/>
      <c r="W57" s="53"/>
      <c r="X57" s="53"/>
      <c r="Y57" s="53"/>
      <c r="Z57" s="53"/>
      <c r="AA57" s="53"/>
      <c r="AB57" s="53"/>
      <c r="AC57" s="53"/>
      <c r="AD57" s="53"/>
      <c r="AE57" s="53"/>
    </row>
    <row r="58" spans="1:32" ht="30" customHeight="1" x14ac:dyDescent="0.25">
      <c r="A58" s="30" t="s">
        <v>550</v>
      </c>
      <c r="B58" s="2"/>
      <c r="C58" s="2"/>
      <c r="D58" s="2"/>
      <c r="E58" s="2"/>
      <c r="F58" s="2"/>
      <c r="G58" s="2"/>
      <c r="H58" s="2"/>
      <c r="I58" s="2"/>
      <c r="J58" s="31" t="s">
        <v>563</v>
      </c>
      <c r="K58" s="31"/>
      <c r="L58" s="31"/>
      <c r="M58" s="31"/>
      <c r="N58" s="31"/>
      <c r="O58" s="33"/>
      <c r="P58" s="33"/>
      <c r="Q58" s="33"/>
      <c r="R58" s="2"/>
      <c r="S58" s="2"/>
      <c r="T58" s="2"/>
      <c r="U58" s="2"/>
      <c r="V58" s="2"/>
      <c r="W58" s="2"/>
      <c r="X58" s="2"/>
      <c r="Y58" s="2"/>
      <c r="Z58" s="2"/>
      <c r="AA58" s="2"/>
      <c r="AB58" s="2"/>
      <c r="AC58" s="2"/>
      <c r="AD58" s="2"/>
      <c r="AE58" s="2"/>
    </row>
    <row r="59" spans="1:32" ht="199.5" customHeight="1" x14ac:dyDescent="0.25">
      <c r="A59" s="32"/>
      <c r="B59" s="32"/>
      <c r="C59" s="32"/>
      <c r="D59" s="32"/>
      <c r="E59" s="32"/>
      <c r="F59" s="32"/>
      <c r="G59" s="54" t="s">
        <v>520</v>
      </c>
      <c r="H59" s="54" t="s">
        <v>300</v>
      </c>
      <c r="I59" s="54" t="s">
        <v>521</v>
      </c>
      <c r="J59" s="54" t="s">
        <v>309</v>
      </c>
      <c r="K59" s="54" t="s">
        <v>308</v>
      </c>
      <c r="L59" s="54" t="s">
        <v>560</v>
      </c>
      <c r="M59" s="54" t="s">
        <v>517</v>
      </c>
      <c r="N59" s="54" t="s">
        <v>561</v>
      </c>
      <c r="O59" s="54" t="s">
        <v>562</v>
      </c>
      <c r="P59" s="54" t="s">
        <v>518</v>
      </c>
      <c r="Q59" s="54" t="s">
        <v>519</v>
      </c>
      <c r="R59" s="55" t="s">
        <v>530</v>
      </c>
      <c r="S59" s="54"/>
      <c r="T59" s="54"/>
      <c r="U59" s="54"/>
      <c r="V59" s="54"/>
      <c r="W59" s="54"/>
      <c r="X59" s="54"/>
      <c r="Y59" s="54"/>
      <c r="Z59" s="55"/>
      <c r="AA59" s="55"/>
      <c r="AB59" s="55"/>
      <c r="AC59" s="55"/>
      <c r="AD59" s="55"/>
      <c r="AE59" s="55"/>
      <c r="AF59" s="48"/>
    </row>
    <row r="60" spans="1:32" s="52" customFormat="1" ht="80.25" customHeight="1" x14ac:dyDescent="0.45">
      <c r="A60" s="50"/>
      <c r="B60" s="50"/>
      <c r="C60" s="51"/>
      <c r="D60" s="51"/>
      <c r="E60" s="51"/>
      <c r="F60" s="51"/>
      <c r="G60" s="53">
        <f>'Order form'!A65</f>
        <v>0</v>
      </c>
      <c r="H60" s="53" t="s">
        <v>22</v>
      </c>
      <c r="I60" s="53">
        <f>+'Order form'!B65</f>
        <v>0</v>
      </c>
      <c r="J60" s="53">
        <f>+'Order form'!C65</f>
        <v>0</v>
      </c>
      <c r="K60" s="53">
        <f>+'Order form'!D65</f>
        <v>0</v>
      </c>
      <c r="L60" s="53">
        <f>+J60-28</f>
        <v>-28</v>
      </c>
      <c r="M60" s="53">
        <f>+L60</f>
        <v>-28</v>
      </c>
      <c r="N60" s="53">
        <f>+J60-28</f>
        <v>-28</v>
      </c>
      <c r="O60" s="53">
        <f>+J60-28</f>
        <v>-28</v>
      </c>
      <c r="P60" s="53">
        <f>+K60-83</f>
        <v>-83</v>
      </c>
      <c r="Q60" s="53">
        <f>+P60</f>
        <v>-83</v>
      </c>
      <c r="R60" s="53">
        <f>'Order form'!M65</f>
        <v>0</v>
      </c>
      <c r="S60" s="53"/>
      <c r="T60" s="53"/>
      <c r="U60" s="53"/>
      <c r="V60" s="53"/>
      <c r="W60" s="53"/>
      <c r="X60" s="53"/>
      <c r="Y60" s="53"/>
      <c r="Z60" s="53"/>
      <c r="AA60" s="53"/>
      <c r="AB60" s="53"/>
      <c r="AC60" s="53"/>
      <c r="AD60" s="53"/>
      <c r="AE60" s="53"/>
    </row>
    <row r="61" spans="1:32" s="52" customFormat="1" ht="80.25" customHeight="1" x14ac:dyDescent="0.45">
      <c r="A61" s="50"/>
      <c r="B61" s="50"/>
      <c r="C61" s="51"/>
      <c r="D61" s="51"/>
      <c r="E61" s="51"/>
      <c r="F61" s="51"/>
      <c r="G61" s="53">
        <f>'Order form'!A66</f>
        <v>0</v>
      </c>
      <c r="H61" s="53" t="s">
        <v>22</v>
      </c>
      <c r="I61" s="53">
        <f>+'Order form'!B66</f>
        <v>0</v>
      </c>
      <c r="J61" s="53">
        <f>+'Order form'!C66</f>
        <v>0</v>
      </c>
      <c r="K61" s="53">
        <f>+'Order form'!D66</f>
        <v>0</v>
      </c>
      <c r="L61" s="53">
        <f t="shared" ref="L61:L69" si="70">+J61-28</f>
        <v>-28</v>
      </c>
      <c r="M61" s="53">
        <f t="shared" ref="M61:M69" si="71">+L61</f>
        <v>-28</v>
      </c>
      <c r="N61" s="53">
        <f t="shared" ref="N61:N69" si="72">+J61-28</f>
        <v>-28</v>
      </c>
      <c r="O61" s="53">
        <f t="shared" ref="O61:O69" si="73">+J61-28</f>
        <v>-28</v>
      </c>
      <c r="P61" s="53">
        <f t="shared" ref="P61:P69" si="74">+K61-83</f>
        <v>-83</v>
      </c>
      <c r="Q61" s="53">
        <f t="shared" ref="Q61:Q69" si="75">+P61</f>
        <v>-83</v>
      </c>
      <c r="R61" s="53">
        <f>'Order form'!M66</f>
        <v>0</v>
      </c>
      <c r="S61" s="53"/>
      <c r="T61" s="53"/>
      <c r="U61" s="53"/>
      <c r="V61" s="53"/>
      <c r="W61" s="53"/>
      <c r="X61" s="53"/>
      <c r="Y61" s="53"/>
      <c r="Z61" s="53"/>
      <c r="AA61" s="53"/>
      <c r="AB61" s="53"/>
      <c r="AC61" s="53"/>
      <c r="AD61" s="53"/>
      <c r="AE61" s="53"/>
    </row>
    <row r="62" spans="1:32" s="52" customFormat="1" ht="80.25" customHeight="1" x14ac:dyDescent="0.45">
      <c r="A62" s="50"/>
      <c r="B62" s="50"/>
      <c r="C62" s="51"/>
      <c r="D62" s="51"/>
      <c r="E62" s="51"/>
      <c r="F62" s="51"/>
      <c r="G62" s="53">
        <f>'Order form'!A67</f>
        <v>0</v>
      </c>
      <c r="H62" s="53" t="s">
        <v>22</v>
      </c>
      <c r="I62" s="53">
        <f>+'Order form'!B67</f>
        <v>0</v>
      </c>
      <c r="J62" s="53">
        <f>+'Order form'!C67</f>
        <v>0</v>
      </c>
      <c r="K62" s="53">
        <f>+'Order form'!D67</f>
        <v>0</v>
      </c>
      <c r="L62" s="53">
        <f t="shared" si="70"/>
        <v>-28</v>
      </c>
      <c r="M62" s="53">
        <f t="shared" si="71"/>
        <v>-28</v>
      </c>
      <c r="N62" s="53">
        <f t="shared" si="72"/>
        <v>-28</v>
      </c>
      <c r="O62" s="53">
        <f t="shared" si="73"/>
        <v>-28</v>
      </c>
      <c r="P62" s="53">
        <f t="shared" si="74"/>
        <v>-83</v>
      </c>
      <c r="Q62" s="53">
        <f t="shared" si="75"/>
        <v>-83</v>
      </c>
      <c r="R62" s="53">
        <f>'Order form'!M67</f>
        <v>0</v>
      </c>
      <c r="S62" s="53"/>
      <c r="T62" s="53"/>
      <c r="U62" s="53"/>
      <c r="V62" s="53"/>
      <c r="W62" s="53"/>
      <c r="X62" s="53"/>
      <c r="Y62" s="53"/>
      <c r="Z62" s="53"/>
      <c r="AA62" s="53"/>
      <c r="AB62" s="53"/>
      <c r="AC62" s="53"/>
      <c r="AD62" s="53"/>
      <c r="AE62" s="53"/>
    </row>
    <row r="63" spans="1:32" s="52" customFormat="1" ht="80.25" customHeight="1" x14ac:dyDescent="0.45">
      <c r="A63" s="50"/>
      <c r="B63" s="50"/>
      <c r="C63" s="51"/>
      <c r="D63" s="51"/>
      <c r="E63" s="51"/>
      <c r="F63" s="51"/>
      <c r="G63" s="53">
        <f>'Order form'!A68</f>
        <v>0</v>
      </c>
      <c r="H63" s="53" t="s">
        <v>22</v>
      </c>
      <c r="I63" s="53">
        <f>+'Order form'!B68</f>
        <v>0</v>
      </c>
      <c r="J63" s="53">
        <f>+'Order form'!C68</f>
        <v>0</v>
      </c>
      <c r="K63" s="53">
        <f>+'Order form'!D68</f>
        <v>0</v>
      </c>
      <c r="L63" s="53">
        <f t="shared" si="70"/>
        <v>-28</v>
      </c>
      <c r="M63" s="53">
        <f t="shared" si="71"/>
        <v>-28</v>
      </c>
      <c r="N63" s="53">
        <f t="shared" si="72"/>
        <v>-28</v>
      </c>
      <c r="O63" s="53">
        <f t="shared" si="73"/>
        <v>-28</v>
      </c>
      <c r="P63" s="53">
        <f t="shared" si="74"/>
        <v>-83</v>
      </c>
      <c r="Q63" s="53">
        <f t="shared" si="75"/>
        <v>-83</v>
      </c>
      <c r="R63" s="53">
        <f>'Order form'!M68</f>
        <v>0</v>
      </c>
      <c r="S63" s="53"/>
      <c r="T63" s="53"/>
      <c r="U63" s="53"/>
      <c r="V63" s="53"/>
      <c r="W63" s="53"/>
      <c r="X63" s="53"/>
      <c r="Y63" s="53"/>
      <c r="Z63" s="53"/>
      <c r="AA63" s="53"/>
      <c r="AB63" s="53"/>
      <c r="AC63" s="53"/>
      <c r="AD63" s="53"/>
      <c r="AE63" s="53"/>
    </row>
    <row r="64" spans="1:32" s="52" customFormat="1" ht="80.25" customHeight="1" x14ac:dyDescent="0.45">
      <c r="A64" s="50"/>
      <c r="B64" s="50"/>
      <c r="C64" s="51"/>
      <c r="D64" s="51"/>
      <c r="E64" s="51"/>
      <c r="F64" s="51"/>
      <c r="G64" s="53">
        <f>'Order form'!A69</f>
        <v>0</v>
      </c>
      <c r="H64" s="53" t="s">
        <v>22</v>
      </c>
      <c r="I64" s="53">
        <f>+'Order form'!B69</f>
        <v>0</v>
      </c>
      <c r="J64" s="53">
        <f>+'Order form'!C69</f>
        <v>0</v>
      </c>
      <c r="K64" s="53">
        <f>+'Order form'!D69</f>
        <v>0</v>
      </c>
      <c r="L64" s="53">
        <f t="shared" si="70"/>
        <v>-28</v>
      </c>
      <c r="M64" s="53">
        <f t="shared" si="71"/>
        <v>-28</v>
      </c>
      <c r="N64" s="53">
        <f t="shared" si="72"/>
        <v>-28</v>
      </c>
      <c r="O64" s="53">
        <f t="shared" si="73"/>
        <v>-28</v>
      </c>
      <c r="P64" s="53">
        <f t="shared" si="74"/>
        <v>-83</v>
      </c>
      <c r="Q64" s="53">
        <f t="shared" si="75"/>
        <v>-83</v>
      </c>
      <c r="R64" s="53">
        <f>'Order form'!M69</f>
        <v>0</v>
      </c>
      <c r="S64" s="53"/>
      <c r="T64" s="53"/>
      <c r="U64" s="53"/>
      <c r="V64" s="53"/>
      <c r="W64" s="53"/>
      <c r="X64" s="53"/>
      <c r="Y64" s="53"/>
      <c r="Z64" s="53"/>
      <c r="AA64" s="53"/>
      <c r="AB64" s="53"/>
      <c r="AC64" s="53"/>
      <c r="AD64" s="53"/>
      <c r="AE64" s="53"/>
    </row>
    <row r="65" spans="1:32" s="52" customFormat="1" ht="80.25" customHeight="1" x14ac:dyDescent="0.45">
      <c r="A65" s="50"/>
      <c r="B65" s="50"/>
      <c r="C65" s="51"/>
      <c r="D65" s="51"/>
      <c r="E65" s="51"/>
      <c r="F65" s="51"/>
      <c r="G65" s="53">
        <f>'Order form'!A70</f>
        <v>0</v>
      </c>
      <c r="H65" s="53" t="s">
        <v>22</v>
      </c>
      <c r="I65" s="53">
        <f>+'Order form'!B70</f>
        <v>0</v>
      </c>
      <c r="J65" s="53">
        <f>+'Order form'!C70</f>
        <v>0</v>
      </c>
      <c r="K65" s="53">
        <f>+'Order form'!D70</f>
        <v>0</v>
      </c>
      <c r="L65" s="53">
        <f t="shared" si="70"/>
        <v>-28</v>
      </c>
      <c r="M65" s="53">
        <f t="shared" si="71"/>
        <v>-28</v>
      </c>
      <c r="N65" s="53">
        <f t="shared" si="72"/>
        <v>-28</v>
      </c>
      <c r="O65" s="53">
        <f t="shared" si="73"/>
        <v>-28</v>
      </c>
      <c r="P65" s="53">
        <f t="shared" si="74"/>
        <v>-83</v>
      </c>
      <c r="Q65" s="53">
        <f t="shared" si="75"/>
        <v>-83</v>
      </c>
      <c r="R65" s="53">
        <f>'Order form'!M70</f>
        <v>0</v>
      </c>
      <c r="S65" s="53"/>
      <c r="T65" s="53"/>
      <c r="U65" s="53"/>
      <c r="V65" s="53"/>
      <c r="W65" s="53"/>
      <c r="X65" s="53"/>
      <c r="Y65" s="53"/>
      <c r="Z65" s="53"/>
      <c r="AA65" s="53"/>
      <c r="AB65" s="53"/>
      <c r="AC65" s="53"/>
      <c r="AD65" s="53"/>
      <c r="AE65" s="53"/>
    </row>
    <row r="66" spans="1:32" s="52" customFormat="1" ht="80.25" customHeight="1" x14ac:dyDescent="0.45">
      <c r="A66" s="50"/>
      <c r="B66" s="50"/>
      <c r="C66" s="51"/>
      <c r="D66" s="51"/>
      <c r="E66" s="51"/>
      <c r="F66" s="51"/>
      <c r="G66" s="53">
        <f>'Order form'!A71</f>
        <v>0</v>
      </c>
      <c r="H66" s="53" t="s">
        <v>22</v>
      </c>
      <c r="I66" s="53">
        <f>+'Order form'!B71</f>
        <v>0</v>
      </c>
      <c r="J66" s="53">
        <f>+'Order form'!C71</f>
        <v>0</v>
      </c>
      <c r="K66" s="53">
        <f>+'Order form'!D71</f>
        <v>0</v>
      </c>
      <c r="L66" s="53">
        <f t="shared" si="70"/>
        <v>-28</v>
      </c>
      <c r="M66" s="53">
        <f t="shared" si="71"/>
        <v>-28</v>
      </c>
      <c r="N66" s="53">
        <f t="shared" si="72"/>
        <v>-28</v>
      </c>
      <c r="O66" s="53">
        <f t="shared" si="73"/>
        <v>-28</v>
      </c>
      <c r="P66" s="53">
        <f t="shared" si="74"/>
        <v>-83</v>
      </c>
      <c r="Q66" s="53">
        <f t="shared" si="75"/>
        <v>-83</v>
      </c>
      <c r="R66" s="53">
        <f>'Order form'!M71</f>
        <v>0</v>
      </c>
      <c r="S66" s="53"/>
      <c r="T66" s="53"/>
      <c r="U66" s="53"/>
      <c r="V66" s="53"/>
      <c r="W66" s="53"/>
      <c r="X66" s="53"/>
      <c r="Y66" s="53"/>
      <c r="Z66" s="53"/>
      <c r="AA66" s="53"/>
      <c r="AB66" s="53"/>
      <c r="AC66" s="53"/>
      <c r="AD66" s="53"/>
      <c r="AE66" s="53"/>
    </row>
    <row r="67" spans="1:32" s="52" customFormat="1" ht="80.25" customHeight="1" x14ac:dyDescent="0.45">
      <c r="A67" s="50"/>
      <c r="B67" s="50"/>
      <c r="C67" s="51"/>
      <c r="D67" s="51"/>
      <c r="E67" s="51"/>
      <c r="F67" s="51"/>
      <c r="G67" s="53">
        <f>'Order form'!A72</f>
        <v>0</v>
      </c>
      <c r="H67" s="53" t="s">
        <v>22</v>
      </c>
      <c r="I67" s="53">
        <f>+'Order form'!B72</f>
        <v>0</v>
      </c>
      <c r="J67" s="53">
        <f>+'Order form'!C72</f>
        <v>0</v>
      </c>
      <c r="K67" s="53">
        <f>+'Order form'!D72</f>
        <v>0</v>
      </c>
      <c r="L67" s="53">
        <f t="shared" si="70"/>
        <v>-28</v>
      </c>
      <c r="M67" s="53">
        <f t="shared" si="71"/>
        <v>-28</v>
      </c>
      <c r="N67" s="53">
        <f t="shared" si="72"/>
        <v>-28</v>
      </c>
      <c r="O67" s="53">
        <f t="shared" si="73"/>
        <v>-28</v>
      </c>
      <c r="P67" s="53">
        <f t="shared" si="74"/>
        <v>-83</v>
      </c>
      <c r="Q67" s="53">
        <f t="shared" si="75"/>
        <v>-83</v>
      </c>
      <c r="R67" s="53">
        <f>'Order form'!M72</f>
        <v>0</v>
      </c>
      <c r="S67" s="53"/>
      <c r="T67" s="53"/>
      <c r="U67" s="53"/>
      <c r="V67" s="53"/>
      <c r="W67" s="53"/>
      <c r="X67" s="53"/>
      <c r="Y67" s="53"/>
      <c r="Z67" s="53"/>
      <c r="AA67" s="53"/>
      <c r="AB67" s="53"/>
      <c r="AC67" s="53"/>
      <c r="AD67" s="53"/>
      <c r="AE67" s="53"/>
    </row>
    <row r="68" spans="1:32" s="52" customFormat="1" ht="80.25" customHeight="1" x14ac:dyDescent="0.45">
      <c r="A68" s="50"/>
      <c r="B68" s="50"/>
      <c r="C68" s="51"/>
      <c r="D68" s="51"/>
      <c r="E68" s="51"/>
      <c r="F68" s="51"/>
      <c r="G68" s="53">
        <f>'Order form'!A73</f>
        <v>0</v>
      </c>
      <c r="H68" s="53" t="s">
        <v>22</v>
      </c>
      <c r="I68" s="53">
        <f>+'Order form'!B73</f>
        <v>0</v>
      </c>
      <c r="J68" s="53">
        <f>+'Order form'!C73</f>
        <v>0</v>
      </c>
      <c r="K68" s="53">
        <f>+'Order form'!D73</f>
        <v>0</v>
      </c>
      <c r="L68" s="53">
        <f t="shared" si="70"/>
        <v>-28</v>
      </c>
      <c r="M68" s="53">
        <f t="shared" si="71"/>
        <v>-28</v>
      </c>
      <c r="N68" s="53">
        <f t="shared" si="72"/>
        <v>-28</v>
      </c>
      <c r="O68" s="53">
        <f t="shared" si="73"/>
        <v>-28</v>
      </c>
      <c r="P68" s="53">
        <f t="shared" si="74"/>
        <v>-83</v>
      </c>
      <c r="Q68" s="53">
        <f t="shared" si="75"/>
        <v>-83</v>
      </c>
      <c r="R68" s="53">
        <f>'Order form'!M73</f>
        <v>0</v>
      </c>
      <c r="S68" s="53"/>
      <c r="T68" s="53"/>
      <c r="U68" s="53"/>
      <c r="V68" s="53"/>
      <c r="W68" s="53"/>
      <c r="X68" s="53"/>
      <c r="Y68" s="53"/>
      <c r="Z68" s="53"/>
      <c r="AA68" s="53"/>
      <c r="AB68" s="53"/>
      <c r="AC68" s="53"/>
      <c r="AD68" s="53"/>
      <c r="AE68" s="53"/>
    </row>
    <row r="69" spans="1:32" s="52" customFormat="1" ht="80.25" customHeight="1" x14ac:dyDescent="0.45">
      <c r="A69" s="50"/>
      <c r="B69" s="50"/>
      <c r="C69" s="51"/>
      <c r="D69" s="51"/>
      <c r="E69" s="51"/>
      <c r="F69" s="51"/>
      <c r="G69" s="53">
        <f>'Order form'!A74</f>
        <v>0</v>
      </c>
      <c r="H69" s="53" t="s">
        <v>22</v>
      </c>
      <c r="I69" s="53">
        <f>+'Order form'!B74</f>
        <v>0</v>
      </c>
      <c r="J69" s="53">
        <f>+'Order form'!C74</f>
        <v>0</v>
      </c>
      <c r="K69" s="53">
        <f>+'Order form'!D74</f>
        <v>0</v>
      </c>
      <c r="L69" s="53">
        <f t="shared" si="70"/>
        <v>-28</v>
      </c>
      <c r="M69" s="53">
        <f t="shared" si="71"/>
        <v>-28</v>
      </c>
      <c r="N69" s="53">
        <f t="shared" si="72"/>
        <v>-28</v>
      </c>
      <c r="O69" s="53">
        <f t="shared" si="73"/>
        <v>-28</v>
      </c>
      <c r="P69" s="53">
        <f t="shared" si="74"/>
        <v>-83</v>
      </c>
      <c r="Q69" s="53">
        <f t="shared" si="75"/>
        <v>-83</v>
      </c>
      <c r="R69" s="53">
        <f>'Order form'!M74</f>
        <v>0</v>
      </c>
      <c r="S69" s="53"/>
      <c r="T69" s="53"/>
      <c r="U69" s="53"/>
      <c r="V69" s="53"/>
      <c r="W69" s="53"/>
      <c r="X69" s="53"/>
      <c r="Y69" s="53"/>
      <c r="Z69" s="53"/>
      <c r="AA69" s="53"/>
      <c r="AB69" s="53"/>
      <c r="AC69" s="53"/>
      <c r="AD69" s="53"/>
      <c r="AE69" s="53"/>
    </row>
    <row r="70" spans="1:32" ht="60" customHeight="1" x14ac:dyDescent="0.25">
      <c r="A70" s="30" t="s">
        <v>564</v>
      </c>
      <c r="B70" s="2"/>
      <c r="C70" s="2"/>
      <c r="D70" s="2"/>
      <c r="E70" s="2"/>
      <c r="F70" s="2"/>
      <c r="G70" s="2"/>
      <c r="H70" s="2"/>
      <c r="I70" s="2"/>
      <c r="J70" s="31" t="s">
        <v>564</v>
      </c>
      <c r="K70" s="31"/>
      <c r="L70" s="31"/>
      <c r="M70" s="31"/>
      <c r="N70" s="31"/>
      <c r="O70" s="2"/>
      <c r="P70" s="2"/>
      <c r="Q70" s="2"/>
      <c r="R70" s="2"/>
      <c r="S70" s="2"/>
      <c r="T70" s="2"/>
      <c r="U70" s="2"/>
      <c r="V70" s="2"/>
      <c r="W70" s="2"/>
      <c r="X70" s="2"/>
      <c r="Y70" s="2"/>
      <c r="Z70" s="2"/>
      <c r="AA70" s="2"/>
      <c r="AB70" s="2"/>
      <c r="AC70" s="2"/>
      <c r="AD70" s="2"/>
      <c r="AE70" s="2"/>
    </row>
    <row r="71" spans="1:32" ht="199.5" customHeight="1" x14ac:dyDescent="0.25">
      <c r="A71" s="32"/>
      <c r="B71" s="32"/>
      <c r="C71" s="32"/>
      <c r="D71" s="32"/>
      <c r="E71" s="32"/>
      <c r="F71" s="32"/>
      <c r="G71" s="54" t="s">
        <v>565</v>
      </c>
      <c r="H71" s="54" t="s">
        <v>300</v>
      </c>
      <c r="I71" s="54" t="s">
        <v>152</v>
      </c>
      <c r="J71" s="54" t="s">
        <v>566</v>
      </c>
      <c r="K71" s="54"/>
      <c r="L71" s="54"/>
      <c r="M71" s="54"/>
      <c r="N71" s="54" t="s">
        <v>567</v>
      </c>
      <c r="O71" s="54"/>
      <c r="P71" s="54"/>
      <c r="Q71" s="54"/>
      <c r="R71" s="54" t="s">
        <v>568</v>
      </c>
      <c r="S71" s="54"/>
      <c r="T71" s="54"/>
      <c r="U71" s="54"/>
      <c r="V71" s="54"/>
      <c r="W71" s="54"/>
      <c r="X71" s="54"/>
      <c r="Y71" s="54"/>
      <c r="Z71" s="55"/>
      <c r="AA71" s="55"/>
      <c r="AB71" s="55"/>
      <c r="AC71" s="55"/>
      <c r="AD71" s="55"/>
      <c r="AE71" s="55"/>
      <c r="AF71" s="48"/>
    </row>
    <row r="72" spans="1:32" s="52" customFormat="1" ht="80.25" customHeight="1" x14ac:dyDescent="0.45">
      <c r="A72" s="50"/>
      <c r="B72" s="50"/>
      <c r="C72" s="51"/>
      <c r="D72" s="51"/>
      <c r="E72" s="51"/>
      <c r="F72" s="51"/>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row>
    <row r="73" spans="1:32" s="52" customFormat="1" ht="80.25" customHeight="1" x14ac:dyDescent="0.45">
      <c r="A73" s="50"/>
      <c r="B73" s="50"/>
      <c r="C73" s="51"/>
      <c r="D73" s="51"/>
      <c r="E73" s="51"/>
      <c r="F73" s="51"/>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row>
    <row r="74" spans="1:32" s="52" customFormat="1" ht="80.25" customHeight="1" x14ac:dyDescent="0.45">
      <c r="A74" s="50"/>
      <c r="B74" s="50"/>
      <c r="C74" s="51"/>
      <c r="D74" s="51"/>
      <c r="E74" s="51"/>
      <c r="F74" s="51"/>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row>
    <row r="75" spans="1:32" s="52" customFormat="1" ht="80.25" customHeight="1" x14ac:dyDescent="0.45">
      <c r="A75" s="50"/>
      <c r="B75" s="50"/>
      <c r="C75" s="51"/>
      <c r="D75" s="51"/>
      <c r="E75" s="51"/>
      <c r="F75" s="51"/>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row>
    <row r="76" spans="1:32" s="52" customFormat="1" ht="80.25" customHeight="1" x14ac:dyDescent="0.45">
      <c r="A76" s="50"/>
      <c r="B76" s="50"/>
      <c r="C76" s="51"/>
      <c r="D76" s="51"/>
      <c r="E76" s="51"/>
      <c r="F76" s="51"/>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row>
    <row r="77" spans="1:32" s="52" customFormat="1" ht="80.25" customHeight="1" x14ac:dyDescent="0.45">
      <c r="A77" s="50"/>
      <c r="B77" s="50"/>
      <c r="C77" s="51"/>
      <c r="D77" s="51"/>
      <c r="E77" s="51"/>
      <c r="F77" s="51"/>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row>
    <row r="78" spans="1:32" s="52" customFormat="1" ht="80.25" customHeight="1" x14ac:dyDescent="0.45">
      <c r="A78" s="50"/>
      <c r="B78" s="50"/>
      <c r="C78" s="51"/>
      <c r="D78" s="51"/>
      <c r="E78" s="51"/>
      <c r="F78" s="51"/>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row>
    <row r="79" spans="1:32" x14ac:dyDescent="0.25">
      <c r="A79" s="2"/>
      <c r="B79" s="2"/>
      <c r="C79" s="2"/>
      <c r="D79" s="2"/>
      <c r="E79" s="2"/>
      <c r="F79" s="2"/>
      <c r="G79" s="2"/>
      <c r="H79" s="2"/>
      <c r="I79" s="2"/>
      <c r="J79" s="183"/>
      <c r="K79" s="183"/>
      <c r="L79" s="183"/>
      <c r="M79" s="183"/>
      <c r="N79" s="183"/>
      <c r="O79" s="183"/>
      <c r="P79" s="183"/>
      <c r="Q79" s="183"/>
      <c r="R79" s="2"/>
      <c r="S79" s="2"/>
      <c r="T79" s="2"/>
      <c r="U79" s="2"/>
      <c r="V79" s="2"/>
      <c r="W79" s="2"/>
      <c r="X79" s="2"/>
      <c r="Y79" s="2"/>
      <c r="Z79" s="2"/>
      <c r="AA79" s="2"/>
      <c r="AB79" s="2"/>
      <c r="AC79" s="2"/>
      <c r="AD79" s="2"/>
      <c r="AE79" s="2"/>
    </row>
    <row r="80" spans="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1:3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sheetData>
  <mergeCells count="11">
    <mergeCell ref="J79:M79"/>
    <mergeCell ref="N79:Q79"/>
    <mergeCell ref="N2:O2"/>
    <mergeCell ref="N3:O3"/>
    <mergeCell ref="B1:D1"/>
    <mergeCell ref="E1:F1"/>
    <mergeCell ref="N1:O1"/>
    <mergeCell ref="B2:D2"/>
    <mergeCell ref="E2:F2"/>
    <mergeCell ref="B3:D3"/>
    <mergeCell ref="E3:F3"/>
  </mergeCells>
  <conditionalFormatting sqref="G9:AE13">
    <cfRule type="expression" dxfId="6" priority="6">
      <formula>$J9&lt;1</formula>
    </cfRule>
  </conditionalFormatting>
  <conditionalFormatting sqref="G16:AE25">
    <cfRule type="expression" dxfId="5" priority="13">
      <formula>$J16&lt;1</formula>
    </cfRule>
  </conditionalFormatting>
  <conditionalFormatting sqref="G28:AE33">
    <cfRule type="expression" dxfId="4" priority="1">
      <formula>$J28&lt;1</formula>
    </cfRule>
  </conditionalFormatting>
  <conditionalFormatting sqref="G36:AE45">
    <cfRule type="expression" dxfId="3" priority="11">
      <formula>$J36&lt;1</formula>
    </cfRule>
  </conditionalFormatting>
  <conditionalFormatting sqref="G48:AE57">
    <cfRule type="expression" dxfId="2" priority="10">
      <formula>$J48&lt;1</formula>
    </cfRule>
  </conditionalFormatting>
  <conditionalFormatting sqref="G60:AE69">
    <cfRule type="expression" dxfId="1" priority="9">
      <formula>$J60&lt;1</formula>
    </cfRule>
  </conditionalFormatting>
  <conditionalFormatting sqref="G72:AE78">
    <cfRule type="expression" dxfId="0" priority="20">
      <formula>$J72&lt;1</formula>
    </cfRule>
  </conditionalFormatting>
  <dataValidations disablePrompts="1" count="6">
    <dataValidation type="list" allowBlank="1" showInputMessage="1" showErrorMessage="1" sqref="H28:H33" xr:uid="{00000000-0002-0000-0200-000000000000}">
      <formula1>$AG$3:$AG$5</formula1>
    </dataValidation>
    <dataValidation type="list" allowBlank="1" showInputMessage="1" showErrorMessage="1" sqref="H28:H33" xr:uid="{00000000-0002-0000-0200-000001000000}">
      <formula1>$AG$3:$AG$4</formula1>
    </dataValidation>
    <dataValidation type="list" allowBlank="1" showInputMessage="1" showErrorMessage="1" error="Please call the office for help 01778 560070" sqref="G16:G25" xr:uid="{00000000-0002-0000-0200-000002000000}">
      <formula1>$AW$5:$AW$8</formula1>
    </dataValidation>
    <dataValidation type="list" allowBlank="1" showInputMessage="1" showErrorMessage="1" error="Please call the office for help 01778 560070" sqref="G28:G30 G32" xr:uid="{00000000-0002-0000-0200-000003000000}">
      <formula1>$AA$8:$AA$9</formula1>
    </dataValidation>
    <dataValidation type="list" allowBlank="1" showInputMessage="1" showErrorMessage="1" error="Please call the office for help 01778 560070" sqref="G31 G33" xr:uid="{00000000-0002-0000-0200-000004000000}">
      <formula1>$AA$4:$AA$12</formula1>
    </dataValidation>
    <dataValidation type="list" allowBlank="1" showInputMessage="1" showErrorMessage="1" prompt="Please select Single or Double from the drop down choices" sqref="G36:G45" xr:uid="{00000000-0002-0000-0200-000005000000}">
      <formula1>$A$161:$A$162</formula1>
    </dataValidation>
  </dataValidations>
  <pageMargins left="0.23622047244094491" right="0.23622047244094491" top="0.74803149606299213" bottom="0.74803149606299213" header="0.31496062992125984" footer="0.31496062992125984"/>
  <pageSetup paperSize="9" scale="32"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20"/>
  <sheetViews>
    <sheetView workbookViewId="0">
      <selection activeCell="B19" sqref="B19"/>
    </sheetView>
  </sheetViews>
  <sheetFormatPr defaultColWidth="8.7109375" defaultRowHeight="15" x14ac:dyDescent="0.25"/>
  <cols>
    <col min="1" max="1" width="37" customWidth="1"/>
    <col min="2" max="2" width="33.5703125" customWidth="1"/>
  </cols>
  <sheetData>
    <row r="1" spans="1:2" x14ac:dyDescent="0.25">
      <c r="A1" s="67" t="s">
        <v>569</v>
      </c>
      <c r="B1" s="68"/>
    </row>
    <row r="2" spans="1:2" x14ac:dyDescent="0.25">
      <c r="A2" s="68"/>
      <c r="B2" s="68"/>
    </row>
    <row r="3" spans="1:2" x14ac:dyDescent="0.25">
      <c r="A3" s="67" t="s">
        <v>570</v>
      </c>
      <c r="B3" s="68"/>
    </row>
    <row r="4" spans="1:2" x14ac:dyDescent="0.25">
      <c r="A4" s="68"/>
      <c r="B4" s="68"/>
    </row>
    <row r="5" spans="1:2" x14ac:dyDescent="0.25">
      <c r="A5" s="67" t="s">
        <v>571</v>
      </c>
      <c r="B5" s="68" t="s">
        <v>572</v>
      </c>
    </row>
    <row r="6" spans="1:2" x14ac:dyDescent="0.25">
      <c r="A6" s="67"/>
      <c r="B6" s="68" t="s">
        <v>573</v>
      </c>
    </row>
    <row r="7" spans="1:2" x14ac:dyDescent="0.25">
      <c r="A7" s="67"/>
      <c r="B7" s="68" t="s">
        <v>574</v>
      </c>
    </row>
    <row r="8" spans="1:2" x14ac:dyDescent="0.25">
      <c r="A8" s="67"/>
      <c r="B8" s="68" t="s">
        <v>575</v>
      </c>
    </row>
    <row r="9" spans="1:2" x14ac:dyDescent="0.25">
      <c r="A9" s="67"/>
      <c r="B9" s="68" t="s">
        <v>576</v>
      </c>
    </row>
    <row r="10" spans="1:2" x14ac:dyDescent="0.25">
      <c r="A10" s="67"/>
      <c r="B10" s="68" t="s">
        <v>577</v>
      </c>
    </row>
    <row r="11" spans="1:2" x14ac:dyDescent="0.25">
      <c r="A11" s="67"/>
      <c r="B11" s="68"/>
    </row>
    <row r="12" spans="1:2" x14ac:dyDescent="0.25">
      <c r="A12" s="67" t="s">
        <v>19</v>
      </c>
      <c r="B12" s="68" t="s">
        <v>20</v>
      </c>
    </row>
    <row r="13" spans="1:2" x14ac:dyDescent="0.25">
      <c r="A13" s="67"/>
      <c r="B13" s="68"/>
    </row>
    <row r="14" spans="1:2" x14ac:dyDescent="0.25">
      <c r="A14" s="67" t="s">
        <v>28</v>
      </c>
      <c r="B14" s="69" t="s">
        <v>29</v>
      </c>
    </row>
    <row r="15" spans="1:2" x14ac:dyDescent="0.25">
      <c r="A15" s="67"/>
      <c r="B15" s="68"/>
    </row>
    <row r="16" spans="1:2" x14ac:dyDescent="0.25">
      <c r="A16" s="67" t="s">
        <v>39</v>
      </c>
      <c r="B16" s="68" t="s">
        <v>40</v>
      </c>
    </row>
    <row r="17" spans="1:2" x14ac:dyDescent="0.25">
      <c r="A17" s="67"/>
      <c r="B17" s="68"/>
    </row>
    <row r="18" spans="1:2" x14ac:dyDescent="0.25">
      <c r="A18" s="67" t="s">
        <v>578</v>
      </c>
      <c r="B18" s="68" t="s">
        <v>579</v>
      </c>
    </row>
    <row r="19" spans="1:2" x14ac:dyDescent="0.25">
      <c r="A19" s="68"/>
      <c r="B19" s="68"/>
    </row>
    <row r="20" spans="1:2" x14ac:dyDescent="0.25">
      <c r="A20" s="67" t="s">
        <v>580</v>
      </c>
      <c r="B20" s="68" t="s">
        <v>581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Order form</vt:lpstr>
      <vt:lpstr>Phantom use only</vt:lpstr>
      <vt:lpstr>Bank details</vt:lpstr>
      <vt:lpstr>'Order form'!Print_Area</vt:lpstr>
      <vt:lpstr>'Phantom use only'!Print_Area</vt:lpstr>
      <vt:lpstr>'Phantom use only'!Print_Titles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Young</dc:creator>
  <cp:keywords/>
  <dc:description/>
  <cp:lastModifiedBy>Ben Baker</cp:lastModifiedBy>
  <cp:revision/>
  <cp:lastPrinted>2024-03-01T16:15:48Z</cp:lastPrinted>
  <dcterms:created xsi:type="dcterms:W3CDTF">2007-11-30T15:20:30Z</dcterms:created>
  <dcterms:modified xsi:type="dcterms:W3CDTF">2026-03-18T16:35:09Z</dcterms:modified>
  <cp:category/>
  <cp:contentStatus/>
</cp:coreProperties>
</file>